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10" yWindow="345" windowWidth="10080" windowHeight="6030" activeTab="1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>
    <definedName name="_g">'Tabelle1'!$C$34</definedName>
    <definedName name="_M">'Tabelle1'!$G$35</definedName>
    <definedName name="_V">'Tabelle1'!$G$36</definedName>
  </definedNames>
  <calcPr fullCalcOnLoad="1"/>
</workbook>
</file>

<file path=xl/sharedStrings.xml><?xml version="1.0" encoding="utf-8"?>
<sst xmlns="http://schemas.openxmlformats.org/spreadsheetml/2006/main" count="173" uniqueCount="125">
  <si>
    <t>copyright by:</t>
  </si>
  <si>
    <t>Expo Engineering, Dipl.-Ing. Michael Lück</t>
  </si>
  <si>
    <t>http://www.expo-engineering.de</t>
  </si>
  <si>
    <t>Load Calculator</t>
  </si>
  <si>
    <t>m</t>
  </si>
  <si>
    <t>kg/m</t>
  </si>
  <si>
    <t>mm</t>
  </si>
  <si>
    <r>
      <t>cm</t>
    </r>
    <r>
      <rPr>
        <vertAlign val="superscript"/>
        <sz val="10"/>
        <rFont val="Arial"/>
        <family val="2"/>
      </rPr>
      <t>2</t>
    </r>
  </si>
  <si>
    <t>cm</t>
  </si>
  <si>
    <r>
      <t>cm</t>
    </r>
    <r>
      <rPr>
        <vertAlign val="superscript"/>
        <sz val="10"/>
        <rFont val="Arial"/>
        <family val="2"/>
      </rPr>
      <t>4</t>
    </r>
  </si>
  <si>
    <t>kg</t>
  </si>
  <si>
    <r>
      <t>cm</t>
    </r>
    <r>
      <rPr>
        <vertAlign val="superscript"/>
        <sz val="10"/>
        <rFont val="Arial"/>
        <family val="2"/>
      </rPr>
      <t>3</t>
    </r>
  </si>
  <si>
    <t>kN/m</t>
  </si>
  <si>
    <t>kNm</t>
  </si>
  <si>
    <t>kN</t>
  </si>
  <si>
    <t>M</t>
  </si>
  <si>
    <t>V</t>
  </si>
  <si>
    <t>DIN4113</t>
  </si>
  <si>
    <t>FD34</t>
  </si>
  <si>
    <t>FD33</t>
  </si>
  <si>
    <t>XD</t>
  </si>
  <si>
    <t>GD</t>
  </si>
  <si>
    <t>System</t>
  </si>
  <si>
    <t>BD25</t>
  </si>
  <si>
    <t>FD43</t>
  </si>
  <si>
    <t>FD44</t>
  </si>
  <si>
    <t>HT</t>
  </si>
  <si>
    <t>FT</t>
  </si>
  <si>
    <t>Gurte</t>
  </si>
  <si>
    <t>Hoch</t>
  </si>
  <si>
    <t>Breit</t>
  </si>
  <si>
    <t>Durchm.</t>
  </si>
  <si>
    <t>Wandst.</t>
  </si>
  <si>
    <t>Brace</t>
  </si>
  <si>
    <t>Trusspinn</t>
  </si>
  <si>
    <t>Material</t>
  </si>
  <si>
    <t>Gew.</t>
  </si>
  <si>
    <t>AlMgSi1F31</t>
  </si>
  <si>
    <t>AlMgSi0,5F22</t>
  </si>
  <si>
    <t>zulM</t>
  </si>
  <si>
    <t>zul.V</t>
  </si>
  <si>
    <t>,BD25,FD33,FD34,FD43,FD44</t>
  </si>
  <si>
    <t>phone:0049-2521-950000 / fax:0049-2521-950001</t>
  </si>
  <si>
    <r>
      <t>The "Load-calculator"</t>
    </r>
    <r>
      <rPr>
        <sz val="10"/>
        <rFont val="CommercialPi BT"/>
        <family val="1"/>
      </rPr>
      <t>c</t>
    </r>
  </si>
  <si>
    <t>ST</t>
  </si>
  <si>
    <t>Fitting</t>
  </si>
  <si>
    <t>BD</t>
  </si>
  <si>
    <t>FD</t>
  </si>
  <si>
    <t>XT</t>
  </si>
  <si>
    <t>,XD,GD,HT,FT,ST,XT</t>
  </si>
  <si>
    <t>Eurotruss</t>
  </si>
  <si>
    <r>
      <t>Der "Load-calculator"</t>
    </r>
    <r>
      <rPr>
        <sz val="12"/>
        <rFont val="CommercialPi BT"/>
        <family val="1"/>
      </rPr>
      <t>c</t>
    </r>
  </si>
  <si>
    <t>Systemgeometrie</t>
  </si>
  <si>
    <t>Profilwerte</t>
  </si>
  <si>
    <t>Wählen Sie Ihr System</t>
  </si>
  <si>
    <t>programmiert sind:</t>
  </si>
  <si>
    <t>Querschnitt</t>
  </si>
  <si>
    <t>Anzahl Gurtrohre</t>
  </si>
  <si>
    <r>
      <t>Höhe außen</t>
    </r>
    <r>
      <rPr>
        <vertAlign val="superscript"/>
        <sz val="10"/>
        <rFont val="Arial"/>
        <family val="2"/>
      </rPr>
      <t>1)</t>
    </r>
  </si>
  <si>
    <r>
      <t>Breite außen</t>
    </r>
    <r>
      <rPr>
        <vertAlign val="superscript"/>
        <sz val="10"/>
        <rFont val="Arial"/>
        <family val="2"/>
      </rPr>
      <t>1)</t>
    </r>
  </si>
  <si>
    <t>Verbinder - Type</t>
  </si>
  <si>
    <t>Durchmesser Gurtrohr</t>
  </si>
  <si>
    <t>Wandstärke Gurtrohr</t>
  </si>
  <si>
    <t>Durchmesser Brace/Streben</t>
  </si>
  <si>
    <t>Durchmesser Trusspinn</t>
  </si>
  <si>
    <t>Werkstoff</t>
  </si>
  <si>
    <t>Eigenlast der Traverse</t>
  </si>
  <si>
    <t>Statik</t>
  </si>
  <si>
    <t>Abstand f. Steineranteil</t>
  </si>
  <si>
    <t>Iy Gurtrohr</t>
  </si>
  <si>
    <t>Querschnittsfläche d. Traverse</t>
  </si>
  <si>
    <t>Iy Traverse</t>
  </si>
  <si>
    <t>i Gurtrohr</t>
  </si>
  <si>
    <t>i Traverse</t>
  </si>
  <si>
    <t>Wy Traverse</t>
  </si>
  <si>
    <t>Zulässiges Biegemoment My</t>
  </si>
  <si>
    <t>Zulässige Querkraft Vz</t>
  </si>
  <si>
    <t>Stützweite</t>
  </si>
  <si>
    <t>gewähltes System</t>
  </si>
  <si>
    <t>Eigenlast</t>
  </si>
  <si>
    <t>gewählte, mittige Einzellast</t>
  </si>
  <si>
    <t>gewählte Gleichlast</t>
  </si>
  <si>
    <t>Durchbiegung</t>
  </si>
  <si>
    <t>ohne Eigenlast</t>
  </si>
  <si>
    <t>inkl. Eigenlast</t>
  </si>
  <si>
    <t>mehrfache Einzellast</t>
  </si>
  <si>
    <t>Anzahl Einzellasten</t>
  </si>
  <si>
    <t>je</t>
  </si>
  <si>
    <t>nicht berechnet</t>
  </si>
  <si>
    <t>Anleitung:</t>
  </si>
  <si>
    <t>1) Blaue Felder &gt;&gt; Ausgabe</t>
  </si>
  <si>
    <t>2) Gelbe Felder &gt;&gt; Eingabe</t>
  </si>
  <si>
    <t>5) Alle berechenbaren Lastfälle sind in unten stehenden Bildern beschrieben.</t>
  </si>
  <si>
    <t>4) Alle Berechnungen basieren auf symmetrischer Anordnung.</t>
  </si>
  <si>
    <t>3) Alle Berechnungen beziehen sich auf gelenkig gelagerte Einfeldträger.</t>
  </si>
  <si>
    <t>6) Zulässige Gleichlasten für kurze Träger können sehr hoch ausfallen. Diese Lasten sind auf die Knotenpunkte Gurt/Brace einzuleiten.</t>
  </si>
  <si>
    <t xml:space="preserve">7) Die Durchbiegungen für mehrfache Einzellasten werden nicht berechnet. </t>
  </si>
  <si>
    <t>ist die Empfehlung für Interessierte in Sachen Statik.</t>
  </si>
  <si>
    <t>Vom Autor des</t>
  </si>
  <si>
    <r>
      <t>Load-calculator</t>
    </r>
    <r>
      <rPr>
        <sz val="10"/>
        <rFont val="CommercialPi BT"/>
        <family val="1"/>
      </rPr>
      <t>c</t>
    </r>
  </si>
  <si>
    <r>
      <t>1)</t>
    </r>
    <r>
      <rPr>
        <sz val="10"/>
        <rFont val="Arial"/>
        <family val="0"/>
      </rPr>
      <t xml:space="preserve"> Systeme mit "FT" Verbindung sind am Verbinder </t>
    </r>
  </si>
  <si>
    <t>10mm höher/breiter</t>
  </si>
  <si>
    <t xml:space="preserve"> "Mechanik in der Veranstaltungstechnik"</t>
  </si>
  <si>
    <t>Bilden Sie sich weiter.</t>
  </si>
  <si>
    <t>L</t>
  </si>
  <si>
    <t>zul p(M)</t>
  </si>
  <si>
    <t>zul p(V)</t>
  </si>
  <si>
    <t>zul p</t>
  </si>
  <si>
    <t>zul p(+)</t>
  </si>
  <si>
    <t>zul p (kg/m)</t>
  </si>
  <si>
    <t>zul P</t>
  </si>
  <si>
    <t>copyright Michael Lück</t>
  </si>
  <si>
    <r>
      <t>9) Weder der Autor, noch der Vertreiber, sind für Schäden die auf den "Load-calculator"</t>
    </r>
    <r>
      <rPr>
        <sz val="10"/>
        <rFont val="CommercialPi BT"/>
        <family val="1"/>
      </rPr>
      <t>c</t>
    </r>
    <r>
      <rPr>
        <sz val="10"/>
        <rFont val="Arial"/>
        <family val="0"/>
      </rPr>
      <t xml:space="preserve"> zurück zu führen sind haftbar.</t>
    </r>
  </si>
  <si>
    <t>zulF(M)</t>
  </si>
  <si>
    <t>zulF(v)</t>
  </si>
  <si>
    <t>zulF</t>
  </si>
  <si>
    <t>zulF(kg)</t>
  </si>
  <si>
    <t>8) FD32, FD42 und EL22 sind nicht programmiert, da die Belastbarkeit von vielen Parametern abhängt.</t>
  </si>
  <si>
    <t>Im Diagramm "Charakteristik Gesamt-Anhängelast" können mit dem Cursor Daten auf den Graphen abgefragt werden!</t>
  </si>
  <si>
    <t>Status des Systems:</t>
  </si>
  <si>
    <t>Belastung</t>
  </si>
  <si>
    <t>zulässige Gleichlast</t>
  </si>
  <si>
    <t>zulässige Anhängelast</t>
  </si>
  <si>
    <t>XD/GD</t>
  </si>
  <si>
    <t>FT/ST/XT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</si>
</sst>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00"/>
    <numFmt numFmtId="181" formatCode="0.0"/>
    <numFmt numFmtId="182" formatCode="dd/mm/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2"/>
      <name val="CommercialPi BT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sz val="10"/>
      <name val="CommercialPi BT"/>
      <family val="1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3.5"/>
      <name val="Arial"/>
      <family val="0"/>
    </font>
    <font>
      <u val="single"/>
      <sz val="14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22"/>
      <color indexed="10"/>
      <name val="Arial"/>
      <family val="2"/>
    </font>
    <font>
      <sz val="2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2" fontId="0" fillId="4" borderId="1" xfId="0" applyNumberFormat="1" applyFill="1" applyBorder="1" applyAlignment="1" applyProtection="1">
      <alignment/>
      <protection hidden="1"/>
    </xf>
    <xf numFmtId="2" fontId="0" fillId="4" borderId="3" xfId="0" applyNumberForma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right"/>
      <protection hidden="1"/>
    </xf>
    <xf numFmtId="178" fontId="0" fillId="4" borderId="0" xfId="0" applyNumberFormat="1" applyFill="1" applyBorder="1" applyAlignment="1" applyProtection="1">
      <alignment/>
      <protection hidden="1"/>
    </xf>
    <xf numFmtId="181" fontId="0" fillId="4" borderId="0" xfId="0" applyNumberForma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2" fontId="0" fillId="2" borderId="1" xfId="0" applyNumberFormat="1" applyFill="1" applyBorder="1" applyAlignment="1" applyProtection="1">
      <alignment/>
      <protection hidden="1"/>
    </xf>
    <xf numFmtId="2" fontId="0" fillId="4" borderId="4" xfId="0" applyNumberFormat="1" applyFill="1" applyBorder="1" applyAlignment="1" applyProtection="1">
      <alignment/>
      <protection hidden="1"/>
    </xf>
    <xf numFmtId="0" fontId="13" fillId="2" borderId="8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11" fillId="2" borderId="3" xfId="0" applyFont="1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15" fillId="2" borderId="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4" borderId="1" xfId="0" applyFont="1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16" xfId="0" applyFont="1" applyFill="1" applyBorder="1" applyAlignment="1" applyProtection="1">
      <alignment/>
      <protection hidden="1"/>
    </xf>
    <xf numFmtId="2" fontId="0" fillId="6" borderId="16" xfId="0" applyNumberFormat="1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2" fontId="0" fillId="4" borderId="4" xfId="0" applyNumberFormat="1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2" fontId="0" fillId="4" borderId="3" xfId="0" applyNumberFormat="1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3" fillId="2" borderId="3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7" fillId="2" borderId="0" xfId="18" applyFill="1" applyAlignment="1" applyProtection="1">
      <alignment/>
      <protection hidden="1"/>
    </xf>
    <xf numFmtId="0" fontId="19" fillId="2" borderId="1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9" fillId="2" borderId="7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0" fillId="2" borderId="1" xfId="18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9" fillId="7" borderId="0" xfId="0" applyNumberFormat="1" applyFont="1" applyFill="1" applyBorder="1" applyAlignment="1" applyProtection="1">
      <alignment/>
      <protection hidden="1" locked="0"/>
    </xf>
    <xf numFmtId="0" fontId="11" fillId="2" borderId="7" xfId="0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 locked="0"/>
    </xf>
    <xf numFmtId="1" fontId="0" fillId="5" borderId="8" xfId="0" applyNumberFormat="1" applyFont="1" applyFill="1" applyBorder="1" applyAlignment="1" applyProtection="1">
      <alignment/>
      <protection locked="0"/>
    </xf>
    <xf numFmtId="1" fontId="10" fillId="5" borderId="5" xfId="0" applyNumberFormat="1" applyFont="1" applyFill="1" applyBorder="1" applyAlignment="1" applyProtection="1">
      <alignment/>
      <protection locked="0"/>
    </xf>
    <xf numFmtId="1" fontId="0" fillId="8" borderId="3" xfId="0" applyNumberFormat="1" applyFill="1" applyBorder="1" applyAlignment="1" applyProtection="1">
      <alignment/>
      <protection locked="0"/>
    </xf>
    <xf numFmtId="1" fontId="0" fillId="8" borderId="16" xfId="0" applyNumberFormat="1" applyFill="1" applyBorder="1" applyAlignment="1" applyProtection="1">
      <alignment/>
      <protection locked="0"/>
    </xf>
    <xf numFmtId="181" fontId="0" fillId="5" borderId="0" xfId="0" applyNumberFormat="1" applyFill="1" applyAlignment="1" applyProtection="1">
      <alignment/>
      <protection locked="0"/>
    </xf>
    <xf numFmtId="0" fontId="23" fillId="0" borderId="0" xfId="0" applyFont="1" applyAlignment="1">
      <alignment/>
    </xf>
    <xf numFmtId="0" fontId="15" fillId="2" borderId="0" xfId="0" applyFont="1" applyFill="1" applyAlignment="1" applyProtection="1">
      <alignment/>
      <protection hidden="1"/>
    </xf>
    <xf numFmtId="0" fontId="26" fillId="2" borderId="0" xfId="0" applyFont="1" applyFill="1" applyAlignment="1" applyProtection="1">
      <alignment/>
      <protection hidden="1"/>
    </xf>
    <xf numFmtId="0" fontId="26" fillId="2" borderId="1" xfId="0" applyFont="1" applyFill="1" applyBorder="1" applyAlignment="1" applyProtection="1">
      <alignment/>
      <protection hidden="1"/>
    </xf>
    <xf numFmtId="0" fontId="14" fillId="2" borderId="1" xfId="18" applyFont="1" applyFill="1" applyBorder="1" applyAlignment="1" applyProtection="1">
      <alignment/>
      <protection hidden="1"/>
    </xf>
    <xf numFmtId="0" fontId="14" fillId="2" borderId="0" xfId="0" applyFont="1" applyFill="1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27" fillId="2" borderId="1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3" fillId="2" borderId="2" xfId="0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31" fillId="2" borderId="8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Status Gurtkraft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"/>
          <c:y val="0.3385"/>
          <c:w val="0.65775"/>
          <c:h val="0.49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Tabelle1!$J$36:$K$36</c:f>
              <c:numCache>
                <c:ptCount val="2"/>
                <c:pt idx="0">
                  <c:v>0.50625</c:v>
                </c:pt>
                <c:pt idx="1">
                  <c:v>9.59375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Status Strebenkraft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975"/>
          <c:y val="0.318"/>
          <c:w val="0.66525"/>
          <c:h val="0.51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1"/>
              <c:pt idx="0">
                <c:v>used</c:v>
              </c:pt>
            </c:strLit>
          </c:cat>
          <c:val>
            <c:numRef>
              <c:f>Tabelle1!$J$37:$K$37</c:f>
              <c:numCache>
                <c:ptCount val="2"/>
                <c:pt idx="0">
                  <c:v>0.225</c:v>
                </c:pt>
                <c:pt idx="1">
                  <c:v>11.375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Charakteristik Gesamt-Anhängelast
für Gleichlast / Einzellast (kg) und (m)</a:t>
            </a:r>
          </a:p>
        </c:rich>
      </c:tx>
      <c:layout>
        <c:manualLayout>
          <c:xMode val="factor"/>
          <c:yMode val="factor"/>
          <c:x val="-0.133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6"/>
          <c:w val="0.88625"/>
          <c:h val="0.8135"/>
        </c:manualLayout>
      </c:layout>
      <c:lineChart>
        <c:grouping val="standard"/>
        <c:varyColors val="0"/>
        <c:ser>
          <c:idx val="0"/>
          <c:order val="0"/>
          <c:tx>
            <c:v>Gleichlast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Tabelle2!$G$2:$G$41</c:f>
              <c:numCache>
                <c:ptCount val="40"/>
                <c:pt idx="0">
                  <c:v>2359.836901121305</c:v>
                </c:pt>
                <c:pt idx="1">
                  <c:v>2354.740061162079</c:v>
                </c:pt>
                <c:pt idx="2">
                  <c:v>2349.643221202854</c:v>
                </c:pt>
                <c:pt idx="3">
                  <c:v>2038.735983690112</c:v>
                </c:pt>
                <c:pt idx="4">
                  <c:v>1621.814475025484</c:v>
                </c:pt>
                <c:pt idx="5">
                  <c:v>1342.1678559293239</c:v>
                </c:pt>
                <c:pt idx="6">
                  <c:v>1140.9640308722878</c:v>
                </c:pt>
                <c:pt idx="7">
                  <c:v>988.7869520897042</c:v>
                </c:pt>
                <c:pt idx="8">
                  <c:v>869.2943708234226</c:v>
                </c:pt>
                <c:pt idx="9">
                  <c:v>772.6809378185523</c:v>
                </c:pt>
                <c:pt idx="10">
                  <c:v>692.7068853674357</c:v>
                </c:pt>
                <c:pt idx="11">
                  <c:v>625.2123683316343</c:v>
                </c:pt>
                <c:pt idx="12">
                  <c:v>567.3174939229984</c:v>
                </c:pt>
                <c:pt idx="13">
                  <c:v>516.9651958642784</c:v>
                </c:pt>
                <c:pt idx="14">
                  <c:v>472.64695888549096</c:v>
                </c:pt>
                <c:pt idx="15">
                  <c:v>433.2313965341488</c:v>
                </c:pt>
                <c:pt idx="16">
                  <c:v>397.85333093482046</c:v>
                </c:pt>
                <c:pt idx="17">
                  <c:v>365.83984596217005</c:v>
                </c:pt>
                <c:pt idx="18">
                  <c:v>336.6596920435646</c:v>
                </c:pt>
                <c:pt idx="19">
                  <c:v>309.88786952089697</c:v>
                </c:pt>
                <c:pt idx="20">
                  <c:v>285.18033105189073</c:v>
                </c:pt>
                <c:pt idx="21">
                  <c:v>262.2555833565007</c:v>
                </c:pt>
                <c:pt idx="22">
                  <c:v>240.8810885077339</c:v>
                </c:pt>
                <c:pt idx="23">
                  <c:v>220.86306489976215</c:v>
                </c:pt>
                <c:pt idx="24">
                  <c:v>202.03873598369012</c:v>
                </c:pt>
                <c:pt idx="25">
                  <c:v>184.27036775660628</c:v>
                </c:pt>
                <c:pt idx="26">
                  <c:v>167.44063125306752</c:v>
                </c:pt>
                <c:pt idx="27">
                  <c:v>151.44895878840833</c:v>
                </c:pt>
                <c:pt idx="28">
                  <c:v>136.20865408274454</c:v>
                </c:pt>
                <c:pt idx="29">
                  <c:v>121.64458036017666</c:v>
                </c:pt>
                <c:pt idx="30">
                  <c:v>107.69129591266316</c:v>
                </c:pt>
                <c:pt idx="31">
                  <c:v>94.29153924566766</c:v>
                </c:pt>
                <c:pt idx="32">
                  <c:v>81.39498965187036</c:v>
                </c:pt>
                <c:pt idx="33">
                  <c:v>68.95724650716555</c:v>
                </c:pt>
                <c:pt idx="34">
                  <c:v>56.9389835444881</c:v>
                </c:pt>
                <c:pt idx="35">
                  <c:v>45.30524408200247</c:v>
                </c:pt>
                <c:pt idx="36">
                  <c:v>34.024850538611986</c:v>
                </c:pt>
                <c:pt idx="37">
                  <c:v>23.069907183861776</c:v>
                </c:pt>
                <c:pt idx="38">
                  <c:v>12.41537938785644</c:v>
                </c:pt>
                <c:pt idx="39">
                  <c:v>2.038735983690086</c:v>
                </c:pt>
              </c:numCache>
            </c:numRef>
          </c:val>
          <c:smooth val="0"/>
        </c:ser>
        <c:ser>
          <c:idx val="1"/>
          <c:order val="1"/>
          <c:tx>
            <c:v>Einzellast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Tabelle2!$L$2:$L$41</c:f>
              <c:numCache>
                <c:ptCount val="40"/>
                <c:pt idx="0">
                  <c:v>2359.836901121305</c:v>
                </c:pt>
                <c:pt idx="1">
                  <c:v>2054.026503567788</c:v>
                </c:pt>
                <c:pt idx="2">
                  <c:v>1365.1036357458374</c:v>
                </c:pt>
                <c:pt idx="3">
                  <c:v>1019.367991845056</c:v>
                </c:pt>
                <c:pt idx="4">
                  <c:v>810.9072375127421</c:v>
                </c:pt>
                <c:pt idx="5">
                  <c:v>671.0839279646618</c:v>
                </c:pt>
                <c:pt idx="6">
                  <c:v>570.4820154361438</c:v>
                </c:pt>
                <c:pt idx="7">
                  <c:v>494.39347604485215</c:v>
                </c:pt>
                <c:pt idx="8">
                  <c:v>434.64718541171146</c:v>
                </c:pt>
                <c:pt idx="9">
                  <c:v>386.34046890927624</c:v>
                </c:pt>
                <c:pt idx="10">
                  <c:v>346.3534426837179</c:v>
                </c:pt>
                <c:pt idx="11">
                  <c:v>312.6061841658172</c:v>
                </c:pt>
                <c:pt idx="12">
                  <c:v>283.6587469614992</c:v>
                </c:pt>
                <c:pt idx="13">
                  <c:v>258.4825979321392</c:v>
                </c:pt>
                <c:pt idx="14">
                  <c:v>236.3234794427455</c:v>
                </c:pt>
                <c:pt idx="15">
                  <c:v>216.6156982670744</c:v>
                </c:pt>
                <c:pt idx="16">
                  <c:v>198.92666546741017</c:v>
                </c:pt>
                <c:pt idx="17">
                  <c:v>182.91992298108505</c:v>
                </c:pt>
                <c:pt idx="18">
                  <c:v>168.3298460217823</c:v>
                </c:pt>
                <c:pt idx="19">
                  <c:v>154.9439347604485</c:v>
                </c:pt>
                <c:pt idx="20">
                  <c:v>142.5901655259453</c:v>
                </c:pt>
                <c:pt idx="21">
                  <c:v>131.1277916782504</c:v>
                </c:pt>
                <c:pt idx="22">
                  <c:v>120.44054425386695</c:v>
                </c:pt>
                <c:pt idx="23">
                  <c:v>110.43153244988106</c:v>
                </c:pt>
                <c:pt idx="24">
                  <c:v>101.01936799184504</c:v>
                </c:pt>
                <c:pt idx="25">
                  <c:v>92.13518387830312</c:v>
                </c:pt>
                <c:pt idx="26">
                  <c:v>83.72031562653376</c:v>
                </c:pt>
                <c:pt idx="27">
                  <c:v>75.72447939420415</c:v>
                </c:pt>
                <c:pt idx="28">
                  <c:v>68.10432704137227</c:v>
                </c:pt>
                <c:pt idx="29">
                  <c:v>60.82229018008832</c:v>
                </c:pt>
                <c:pt idx="30">
                  <c:v>53.845647956331575</c:v>
                </c:pt>
                <c:pt idx="31">
                  <c:v>47.14576962283383</c:v>
                </c:pt>
                <c:pt idx="32">
                  <c:v>40.69749482593519</c:v>
                </c:pt>
                <c:pt idx="33">
                  <c:v>34.47862325358277</c:v>
                </c:pt>
                <c:pt idx="34">
                  <c:v>28.46949177224406</c:v>
                </c:pt>
                <c:pt idx="35">
                  <c:v>22.652622041001244</c:v>
                </c:pt>
                <c:pt idx="36">
                  <c:v>17.012425269305993</c:v>
                </c:pt>
                <c:pt idx="37">
                  <c:v>11.534953591930888</c:v>
                </c:pt>
                <c:pt idx="38">
                  <c:v>6.207689693928225</c:v>
                </c:pt>
                <c:pt idx="39">
                  <c:v>1.0193679918450524</c:v>
                </c:pt>
              </c:numCache>
            </c:numRef>
          </c:val>
          <c:smooth val="0"/>
        </c:ser>
        <c:axId val="34861169"/>
        <c:axId val="45315066"/>
      </c:line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15066"/>
        <c:crosses val="autoZero"/>
        <c:auto val="1"/>
        <c:lblOffset val="100"/>
        <c:tickLblSkip val="39"/>
        <c:noMultiLvlLbl val="0"/>
      </c:catAx>
      <c:valAx>
        <c:axId val="45315066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61169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Relationship Id="rId4" Type="http://schemas.openxmlformats.org/officeDocument/2006/relationships/hyperlink" Target="http://www.eurotruss.nl/" TargetMode="External" /><Relationship Id="rId5" Type="http://schemas.openxmlformats.org/officeDocument/2006/relationships/hyperlink" Target="http://www.eurotruss.nl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ppv-medien.de/" TargetMode="External" /><Relationship Id="rId8" Type="http://schemas.openxmlformats.org/officeDocument/2006/relationships/hyperlink" Target="http://www.ppv-medien.de/" TargetMode="External" /><Relationship Id="rId9" Type="http://schemas.openxmlformats.org/officeDocument/2006/relationships/chart" Target="/xl/charts/chart3.xml" /><Relationship Id="rId10" Type="http://schemas.openxmlformats.org/officeDocument/2006/relationships/image" Target="../media/image6.jpeg" /><Relationship Id="rId11" Type="http://schemas.openxmlformats.org/officeDocument/2006/relationships/hyperlink" Target="http://www.lightpower.de/" TargetMode="External" /><Relationship Id="rId12" Type="http://schemas.openxmlformats.org/officeDocument/2006/relationships/hyperlink" Target="http://www.lightpower.de/" TargetMode="External" /><Relationship Id="rId13" Type="http://schemas.openxmlformats.org/officeDocument/2006/relationships/hyperlink" Target="http://www.eurotruss.nl/" TargetMode="External" /><Relationship Id="rId14" Type="http://schemas.openxmlformats.org/officeDocument/2006/relationships/hyperlink" Target="http://www.eurotruss.nl/" TargetMode="External" /><Relationship Id="rId15" Type="http://schemas.openxmlformats.org/officeDocument/2006/relationships/hyperlink" Target="http://www.eurotruss.nl/" TargetMode="External" /><Relationship Id="rId16" Type="http://schemas.openxmlformats.org/officeDocument/2006/relationships/hyperlink" Target="http://www.eurotruss.nl/" TargetMode="External" /><Relationship Id="rId17" Type="http://schemas.openxmlformats.org/officeDocument/2006/relationships/hyperlink" Target="http://www.lightpower.de/" TargetMode="External" /><Relationship Id="rId18" Type="http://schemas.openxmlformats.org/officeDocument/2006/relationships/hyperlink" Target="http://www.lightpower.de/" TargetMode="External" /><Relationship Id="rId19" Type="http://schemas.openxmlformats.org/officeDocument/2006/relationships/hyperlink" Target="http://www.lightpower.de/" TargetMode="External" /><Relationship Id="rId20" Type="http://schemas.openxmlformats.org/officeDocument/2006/relationships/hyperlink" Target="http://www.lightpower.de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0.5115</cdr:y>
    </cdr:from>
    <cdr:to>
      <cdr:x>0.66775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1066800"/>
          <a:ext cx="52387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gesamte verteilte Last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35</xdr:row>
      <xdr:rowOff>19050</xdr:rowOff>
    </xdr:from>
    <xdr:to>
      <xdr:col>9</xdr:col>
      <xdr:colOff>647700</xdr:colOff>
      <xdr:row>47</xdr:row>
      <xdr:rowOff>0</xdr:rowOff>
    </xdr:to>
    <xdr:graphicFrame>
      <xdr:nvGraphicFramePr>
        <xdr:cNvPr id="1" name="Chart 7"/>
        <xdr:cNvGraphicFramePr/>
      </xdr:nvGraphicFramePr>
      <xdr:xfrm>
        <a:off x="7496175" y="6419850"/>
        <a:ext cx="22860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35</xdr:row>
      <xdr:rowOff>19050</xdr:rowOff>
    </xdr:from>
    <xdr:to>
      <xdr:col>13</xdr:col>
      <xdr:colOff>733425</xdr:colOff>
      <xdr:row>47</xdr:row>
      <xdr:rowOff>0</xdr:rowOff>
    </xdr:to>
    <xdr:graphicFrame>
      <xdr:nvGraphicFramePr>
        <xdr:cNvPr id="2" name="Chart 11"/>
        <xdr:cNvGraphicFramePr/>
      </xdr:nvGraphicFramePr>
      <xdr:xfrm>
        <a:off x="9782175" y="6419850"/>
        <a:ext cx="2333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333375</xdr:colOff>
      <xdr:row>7</xdr:row>
      <xdr:rowOff>180975</xdr:rowOff>
    </xdr:to>
    <xdr:pic>
      <xdr:nvPicPr>
        <xdr:cNvPr id="3" name="Bild 1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7150"/>
          <a:ext cx="2152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276225</xdr:colOff>
      <xdr:row>17</xdr:row>
      <xdr:rowOff>190500</xdr:rowOff>
    </xdr:from>
    <xdr:ext cx="104775" cy="200025"/>
    <xdr:sp>
      <xdr:nvSpPr>
        <xdr:cNvPr id="4" name="TextBox 31"/>
        <xdr:cNvSpPr txBox="1">
          <a:spLocks noChangeArrowheads="1"/>
        </xdr:cNvSpPr>
      </xdr:nvSpPr>
      <xdr:spPr>
        <a:xfrm>
          <a:off x="2181225" y="323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66675</xdr:colOff>
      <xdr:row>66</xdr:row>
      <xdr:rowOff>66675</xdr:rowOff>
    </xdr:from>
    <xdr:to>
      <xdr:col>11</xdr:col>
      <xdr:colOff>323850</xdr:colOff>
      <xdr:row>78</xdr:row>
      <xdr:rowOff>47625</xdr:rowOff>
    </xdr:to>
    <xdr:pic>
      <xdr:nvPicPr>
        <xdr:cNvPr id="5" name="Picture 81">
          <a:hlinkClick r:id="rId8"/>
        </xdr:cNvPr>
        <xdr:cNvPicPr preferRelativeResize="1">
          <a:picLocks noChangeAspect="1"/>
        </xdr:cNvPicPr>
      </xdr:nvPicPr>
      <xdr:blipFill>
        <a:blip r:embed="rId6"/>
        <a:srcRect r="6889"/>
        <a:stretch>
          <a:fillRect/>
        </a:stretch>
      </xdr:blipFill>
      <xdr:spPr>
        <a:xfrm>
          <a:off x="9201150" y="11868150"/>
          <a:ext cx="1352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36</xdr:row>
      <xdr:rowOff>28575</xdr:rowOff>
    </xdr:from>
    <xdr:to>
      <xdr:col>7</xdr:col>
      <xdr:colOff>485775</xdr:colOff>
      <xdr:row>47</xdr:row>
      <xdr:rowOff>123825</xdr:rowOff>
    </xdr:to>
    <xdr:graphicFrame>
      <xdr:nvGraphicFramePr>
        <xdr:cNvPr id="6" name="Chart 82"/>
        <xdr:cNvGraphicFramePr/>
      </xdr:nvGraphicFramePr>
      <xdr:xfrm>
        <a:off x="3914775" y="6591300"/>
        <a:ext cx="3533775" cy="2085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400050</xdr:colOff>
      <xdr:row>0</xdr:row>
      <xdr:rowOff>57150</xdr:rowOff>
    </xdr:from>
    <xdr:to>
      <xdr:col>3</xdr:col>
      <xdr:colOff>0</xdr:colOff>
      <xdr:row>8</xdr:row>
      <xdr:rowOff>19050</xdr:rowOff>
    </xdr:to>
    <xdr:pic>
      <xdr:nvPicPr>
        <xdr:cNvPr id="7" name="Picture 8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5715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28575</xdr:rowOff>
    </xdr:from>
    <xdr:to>
      <xdr:col>5</xdr:col>
      <xdr:colOff>485775</xdr:colOff>
      <xdr:row>7</xdr:row>
      <xdr:rowOff>152400</xdr:rowOff>
    </xdr:to>
    <xdr:pic>
      <xdr:nvPicPr>
        <xdr:cNvPr id="8" name="Bild 16">
          <a:hlinkClick r:id="rId14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28575"/>
          <a:ext cx="2152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28575</xdr:rowOff>
    </xdr:from>
    <xdr:to>
      <xdr:col>9</xdr:col>
      <xdr:colOff>533400</xdr:colOff>
      <xdr:row>7</xdr:row>
      <xdr:rowOff>152400</xdr:rowOff>
    </xdr:to>
    <xdr:pic>
      <xdr:nvPicPr>
        <xdr:cNvPr id="9" name="Bild 16">
          <a:hlinkClick r:id="rId16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28575"/>
          <a:ext cx="2143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28575</xdr:rowOff>
    </xdr:from>
    <xdr:to>
      <xdr:col>7</xdr:col>
      <xdr:colOff>495300</xdr:colOff>
      <xdr:row>7</xdr:row>
      <xdr:rowOff>171450</xdr:rowOff>
    </xdr:to>
    <xdr:pic>
      <xdr:nvPicPr>
        <xdr:cNvPr id="10" name="Picture 87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62675" y="28575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0</xdr:row>
      <xdr:rowOff>28575</xdr:rowOff>
    </xdr:from>
    <xdr:to>
      <xdr:col>12</xdr:col>
      <xdr:colOff>0</xdr:colOff>
      <xdr:row>7</xdr:row>
      <xdr:rowOff>161925</xdr:rowOff>
    </xdr:to>
    <xdr:pic>
      <xdr:nvPicPr>
        <xdr:cNvPr id="11" name="Picture 88">
          <a:hlinkClick r:id="rId2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25025" y="2857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o-engineering.de/" TargetMode="External" /><Relationship Id="rId2" Type="http://schemas.openxmlformats.org/officeDocument/2006/relationships/hyperlink" Target="http://www.expo-engineering.de/" TargetMode="External" /><Relationship Id="rId3" Type="http://schemas.openxmlformats.org/officeDocument/2006/relationships/hyperlink" Target="http://www.expo-engineering.de/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oleObject" Target="../embeddings/oleObject_1_2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99" t="s">
        <v>111</v>
      </c>
    </row>
  </sheetData>
  <sheetProtection password="DC49" sheet="1" objects="1" scenarios="1"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C1" sqref="C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E105"/>
  <sheetViews>
    <sheetView tabSelected="1" zoomScale="75" zoomScaleNormal="75" workbookViewId="0" topLeftCell="A1">
      <selection activeCell="A16" sqref="A16"/>
    </sheetView>
  </sheetViews>
  <sheetFormatPr defaultColWidth="11.421875" defaultRowHeight="12.75"/>
  <cols>
    <col min="1" max="1" width="28.57421875" style="10" customWidth="1"/>
    <col min="2" max="2" width="11.57421875" style="10" customWidth="1"/>
    <col min="3" max="3" width="13.7109375" style="10" customWidth="1"/>
    <col min="4" max="4" width="4.7109375" style="10" customWidth="1"/>
    <col min="5" max="5" width="26.140625" style="10" customWidth="1"/>
    <col min="6" max="6" width="9.00390625" style="10" customWidth="1"/>
    <col min="7" max="7" width="10.7109375" style="10" customWidth="1"/>
    <col min="8" max="8" width="7.7109375" style="10" customWidth="1"/>
    <col min="9" max="9" width="24.8515625" style="10" customWidth="1"/>
    <col min="10" max="10" width="10.7109375" style="10" customWidth="1"/>
    <col min="11" max="11" width="5.7109375" style="10" customWidth="1"/>
    <col min="12" max="12" width="11.57421875" style="10" customWidth="1"/>
    <col min="13" max="13" width="5.7109375" style="10" customWidth="1"/>
    <col min="14" max="14" width="11.57421875" style="10" customWidth="1"/>
    <col min="15" max="15" width="5.7109375" style="10" customWidth="1"/>
    <col min="16" max="23" width="11.57421875" style="10" customWidth="1"/>
    <col min="24" max="24" width="13.00390625" style="10" customWidth="1"/>
    <col min="25" max="16384" width="11.57421875" style="10" customWidth="1"/>
  </cols>
  <sheetData>
    <row r="1" spans="1:31" ht="12.75">
      <c r="A1" s="14"/>
      <c r="B1" s="1"/>
      <c r="C1" s="1"/>
      <c r="D1" s="15"/>
      <c r="E1" s="1"/>
      <c r="F1" s="1"/>
      <c r="G1" s="1"/>
      <c r="H1" s="15"/>
      <c r="I1" s="1"/>
      <c r="J1" s="1"/>
      <c r="K1" s="1"/>
      <c r="L1" s="1"/>
      <c r="M1" s="1"/>
      <c r="N1" s="1"/>
      <c r="O1" s="15"/>
      <c r="P1" s="89" t="s">
        <v>22</v>
      </c>
      <c r="Q1" s="89" t="s">
        <v>28</v>
      </c>
      <c r="R1" s="89" t="s">
        <v>29</v>
      </c>
      <c r="S1" s="89" t="s">
        <v>30</v>
      </c>
      <c r="T1" s="89" t="s">
        <v>31</v>
      </c>
      <c r="U1" s="89" t="s">
        <v>32</v>
      </c>
      <c r="V1" s="89" t="s">
        <v>33</v>
      </c>
      <c r="W1" s="89" t="s">
        <v>34</v>
      </c>
      <c r="X1" s="89" t="s">
        <v>35</v>
      </c>
      <c r="Y1" s="89" t="s">
        <v>36</v>
      </c>
      <c r="Z1" s="89" t="s">
        <v>39</v>
      </c>
      <c r="AA1" s="89" t="s">
        <v>40</v>
      </c>
      <c r="AB1" s="90" t="s">
        <v>45</v>
      </c>
      <c r="AC1" s="89"/>
      <c r="AD1" s="89"/>
      <c r="AE1" s="84"/>
    </row>
    <row r="2" spans="1:31" ht="12.75">
      <c r="A2" s="14"/>
      <c r="B2" s="1"/>
      <c r="C2" s="1"/>
      <c r="D2" s="15"/>
      <c r="E2" s="1"/>
      <c r="F2" s="1"/>
      <c r="G2" s="1"/>
      <c r="H2" s="15"/>
      <c r="I2" s="1"/>
      <c r="J2" s="1"/>
      <c r="K2" s="1"/>
      <c r="L2" s="1"/>
      <c r="M2" s="1"/>
      <c r="N2" s="1"/>
      <c r="O2" s="88">
        <v>1</v>
      </c>
      <c r="P2" s="89" t="s">
        <v>23</v>
      </c>
      <c r="Q2" s="89">
        <v>3</v>
      </c>
      <c r="R2" s="89">
        <v>223</v>
      </c>
      <c r="S2" s="89">
        <v>250</v>
      </c>
      <c r="T2" s="89">
        <v>50</v>
      </c>
      <c r="U2" s="89">
        <v>1.5</v>
      </c>
      <c r="V2" s="89">
        <v>12</v>
      </c>
      <c r="W2" s="89">
        <v>12</v>
      </c>
      <c r="X2" s="89" t="s">
        <v>38</v>
      </c>
      <c r="Y2" s="89">
        <v>0.032</v>
      </c>
      <c r="Z2" s="89">
        <v>1.25</v>
      </c>
      <c r="AA2" s="89">
        <v>4.34</v>
      </c>
      <c r="AB2" s="90" t="s">
        <v>46</v>
      </c>
      <c r="AC2" s="89"/>
      <c r="AD2" s="89"/>
      <c r="AE2" s="84"/>
    </row>
    <row r="3" spans="1:31" ht="12.75">
      <c r="A3" s="14"/>
      <c r="B3" s="1"/>
      <c r="C3" s="1"/>
      <c r="D3" s="15"/>
      <c r="E3" s="1"/>
      <c r="F3" s="1"/>
      <c r="G3" s="1"/>
      <c r="H3" s="15"/>
      <c r="I3" s="1"/>
      <c r="J3" s="1"/>
      <c r="K3" s="1"/>
      <c r="L3" s="1"/>
      <c r="M3" s="1"/>
      <c r="N3" s="1"/>
      <c r="O3" s="88">
        <v>2</v>
      </c>
      <c r="P3" s="89" t="s">
        <v>19</v>
      </c>
      <c r="Q3" s="89">
        <v>3</v>
      </c>
      <c r="R3" s="89">
        <v>257.5</v>
      </c>
      <c r="S3" s="89">
        <v>290</v>
      </c>
      <c r="T3" s="89">
        <v>50</v>
      </c>
      <c r="U3" s="89">
        <v>2</v>
      </c>
      <c r="V3" s="89">
        <v>20</v>
      </c>
      <c r="W3" s="89">
        <v>12</v>
      </c>
      <c r="X3" s="89" t="s">
        <v>37</v>
      </c>
      <c r="Y3" s="89">
        <v>0.038</v>
      </c>
      <c r="Z3" s="91">
        <v>4.38</v>
      </c>
      <c r="AA3" s="91">
        <v>10.1</v>
      </c>
      <c r="AB3" s="90" t="s">
        <v>47</v>
      </c>
      <c r="AC3" s="89"/>
      <c r="AD3" s="89"/>
      <c r="AE3" s="84"/>
    </row>
    <row r="4" spans="1:31" ht="12.75">
      <c r="A4" s="14"/>
      <c r="B4" s="1"/>
      <c r="C4" s="1"/>
      <c r="D4" s="15"/>
      <c r="E4" s="1"/>
      <c r="F4" s="1"/>
      <c r="G4" s="1"/>
      <c r="H4" s="15"/>
      <c r="I4" s="1"/>
      <c r="J4" s="1"/>
      <c r="K4" s="1"/>
      <c r="L4" s="1"/>
      <c r="M4" s="1"/>
      <c r="N4" s="1"/>
      <c r="O4" s="88">
        <v>3</v>
      </c>
      <c r="P4" s="89" t="s">
        <v>18</v>
      </c>
      <c r="Q4" s="89">
        <v>4</v>
      </c>
      <c r="R4" s="89">
        <v>290</v>
      </c>
      <c r="S4" s="89">
        <v>290</v>
      </c>
      <c r="T4" s="89">
        <v>50</v>
      </c>
      <c r="U4" s="89">
        <v>2</v>
      </c>
      <c r="V4" s="89">
        <v>20</v>
      </c>
      <c r="W4" s="89">
        <v>12</v>
      </c>
      <c r="X4" s="89" t="s">
        <v>37</v>
      </c>
      <c r="Y4" s="89">
        <v>0.05</v>
      </c>
      <c r="Z4" s="91">
        <v>10.1</v>
      </c>
      <c r="AA4" s="91">
        <v>11.6</v>
      </c>
      <c r="AB4" s="90" t="s">
        <v>47</v>
      </c>
      <c r="AC4" s="89"/>
      <c r="AD4" s="89"/>
      <c r="AE4" s="84"/>
    </row>
    <row r="5" spans="1:31" ht="12.75">
      <c r="A5" s="14"/>
      <c r="B5" s="1"/>
      <c r="C5" s="1"/>
      <c r="D5" s="15"/>
      <c r="E5" s="1"/>
      <c r="F5" s="1"/>
      <c r="G5" s="1"/>
      <c r="H5" s="15"/>
      <c r="I5" s="1"/>
      <c r="J5" s="1"/>
      <c r="K5" s="1"/>
      <c r="L5" s="1"/>
      <c r="M5" s="1"/>
      <c r="N5" s="1"/>
      <c r="O5" s="88">
        <v>4</v>
      </c>
      <c r="P5" s="89" t="s">
        <v>24</v>
      </c>
      <c r="Q5" s="89">
        <v>3</v>
      </c>
      <c r="R5" s="89">
        <v>353</v>
      </c>
      <c r="S5" s="89">
        <v>400</v>
      </c>
      <c r="T5" s="89">
        <v>50</v>
      </c>
      <c r="U5" s="89">
        <v>2</v>
      </c>
      <c r="V5" s="89">
        <v>25</v>
      </c>
      <c r="W5" s="89">
        <v>12</v>
      </c>
      <c r="X5" s="89" t="s">
        <v>37</v>
      </c>
      <c r="Y5" s="89">
        <v>0.051</v>
      </c>
      <c r="Z5" s="91">
        <v>6.4</v>
      </c>
      <c r="AA5" s="91">
        <v>12.9</v>
      </c>
      <c r="AB5" s="90" t="s">
        <v>47</v>
      </c>
      <c r="AC5" s="89"/>
      <c r="AD5" s="89"/>
      <c r="AE5" s="84"/>
    </row>
    <row r="6" spans="1:31" ht="12.75">
      <c r="A6" s="14"/>
      <c r="B6" s="1"/>
      <c r="C6" s="1"/>
      <c r="D6" s="15"/>
      <c r="E6" s="1"/>
      <c r="F6" s="1"/>
      <c r="G6" s="1"/>
      <c r="H6" s="15"/>
      <c r="I6" s="72"/>
      <c r="J6" s="1"/>
      <c r="K6" s="1"/>
      <c r="L6" s="1"/>
      <c r="M6" s="1"/>
      <c r="N6" s="1"/>
      <c r="O6" s="88">
        <v>5</v>
      </c>
      <c r="P6" s="89" t="s">
        <v>25</v>
      </c>
      <c r="Q6" s="89">
        <v>4</v>
      </c>
      <c r="R6" s="89">
        <v>400</v>
      </c>
      <c r="S6" s="89">
        <v>400</v>
      </c>
      <c r="T6" s="89">
        <v>50</v>
      </c>
      <c r="U6" s="89">
        <v>2</v>
      </c>
      <c r="V6" s="89">
        <v>25</v>
      </c>
      <c r="W6" s="89">
        <v>12</v>
      </c>
      <c r="X6" s="89" t="s">
        <v>37</v>
      </c>
      <c r="Y6" s="89">
        <v>0.079</v>
      </c>
      <c r="Z6" s="91">
        <v>14.8</v>
      </c>
      <c r="AA6" s="91">
        <v>14.9</v>
      </c>
      <c r="AB6" s="90" t="s">
        <v>47</v>
      </c>
      <c r="AC6" s="89"/>
      <c r="AD6" s="89"/>
      <c r="AE6" s="84"/>
    </row>
    <row r="7" spans="1:31" ht="12.75">
      <c r="A7" s="14"/>
      <c r="B7" s="1"/>
      <c r="C7" s="1"/>
      <c r="D7" s="15"/>
      <c r="E7" s="1"/>
      <c r="F7" s="1"/>
      <c r="G7" s="1"/>
      <c r="H7" s="15"/>
      <c r="I7" s="1"/>
      <c r="J7" s="1"/>
      <c r="K7" s="1"/>
      <c r="L7" s="1"/>
      <c r="M7" s="1"/>
      <c r="N7" s="1"/>
      <c r="O7" s="88">
        <v>6</v>
      </c>
      <c r="P7" s="89" t="s">
        <v>20</v>
      </c>
      <c r="Q7" s="89">
        <v>4</v>
      </c>
      <c r="R7" s="89">
        <v>400</v>
      </c>
      <c r="S7" s="89">
        <v>290</v>
      </c>
      <c r="T7" s="89">
        <v>50</v>
      </c>
      <c r="U7" s="89">
        <v>3</v>
      </c>
      <c r="V7" s="89">
        <v>25</v>
      </c>
      <c r="W7" s="89">
        <v>16</v>
      </c>
      <c r="X7" s="89" t="s">
        <v>37</v>
      </c>
      <c r="Y7" s="89">
        <v>0.09</v>
      </c>
      <c r="Z7" s="91">
        <v>27</v>
      </c>
      <c r="AA7" s="91">
        <v>21.29</v>
      </c>
      <c r="AB7" s="90" t="s">
        <v>123</v>
      </c>
      <c r="AC7" s="89"/>
      <c r="AD7" s="89"/>
      <c r="AE7" s="84"/>
    </row>
    <row r="8" spans="1:31" ht="15">
      <c r="A8" s="44"/>
      <c r="B8" s="1"/>
      <c r="C8" s="1"/>
      <c r="D8" s="15"/>
      <c r="E8" s="9"/>
      <c r="F8" s="72"/>
      <c r="G8" s="1"/>
      <c r="H8" s="15"/>
      <c r="I8" s="9"/>
      <c r="J8" s="1"/>
      <c r="K8" s="1"/>
      <c r="L8" s="1"/>
      <c r="M8" s="1"/>
      <c r="N8" s="1"/>
      <c r="O8" s="88">
        <v>7</v>
      </c>
      <c r="P8" s="89" t="s">
        <v>21</v>
      </c>
      <c r="Q8" s="89">
        <v>4</v>
      </c>
      <c r="R8" s="89">
        <v>400</v>
      </c>
      <c r="S8" s="89">
        <v>400</v>
      </c>
      <c r="T8" s="89">
        <v>50</v>
      </c>
      <c r="U8" s="89">
        <v>3</v>
      </c>
      <c r="V8" s="89">
        <v>25</v>
      </c>
      <c r="W8" s="89">
        <v>16</v>
      </c>
      <c r="X8" s="89" t="s">
        <v>37</v>
      </c>
      <c r="Y8" s="89">
        <v>0.095</v>
      </c>
      <c r="Z8" s="91">
        <v>27</v>
      </c>
      <c r="AA8" s="91">
        <v>21.29</v>
      </c>
      <c r="AB8" s="90" t="s">
        <v>123</v>
      </c>
      <c r="AC8" s="89"/>
      <c r="AD8" s="89"/>
      <c r="AE8" s="84"/>
    </row>
    <row r="9" spans="1:31" ht="15">
      <c r="A9" s="44"/>
      <c r="B9" s="1"/>
      <c r="C9" s="1"/>
      <c r="D9" s="15"/>
      <c r="E9" s="9"/>
      <c r="F9" s="1"/>
      <c r="G9" s="1"/>
      <c r="H9" s="15"/>
      <c r="I9" s="9"/>
      <c r="J9" s="72"/>
      <c r="K9" s="1"/>
      <c r="L9" s="1"/>
      <c r="M9" s="1"/>
      <c r="N9" s="1"/>
      <c r="O9" s="88">
        <v>8</v>
      </c>
      <c r="P9" s="89" t="s">
        <v>26</v>
      </c>
      <c r="Q9" s="89">
        <v>3</v>
      </c>
      <c r="R9" s="89">
        <v>500.3</v>
      </c>
      <c r="S9" s="89">
        <v>570</v>
      </c>
      <c r="T9" s="89">
        <v>50</v>
      </c>
      <c r="U9" s="89">
        <v>4</v>
      </c>
      <c r="V9" s="89">
        <v>25</v>
      </c>
      <c r="W9" s="89">
        <v>16</v>
      </c>
      <c r="X9" s="89" t="s">
        <v>37</v>
      </c>
      <c r="Y9" s="89">
        <v>0.12</v>
      </c>
      <c r="Z9" s="91">
        <v>20.8</v>
      </c>
      <c r="AA9" s="91">
        <v>16.25</v>
      </c>
      <c r="AB9" s="90" t="s">
        <v>123</v>
      </c>
      <c r="AC9" s="89"/>
      <c r="AD9" s="89"/>
      <c r="AE9" s="84"/>
    </row>
    <row r="10" spans="1:31" ht="15">
      <c r="A10" s="45" t="s">
        <v>51</v>
      </c>
      <c r="B10" s="26"/>
      <c r="C10" s="26"/>
      <c r="D10" s="27"/>
      <c r="E10" s="25" t="s">
        <v>51</v>
      </c>
      <c r="F10" s="26"/>
      <c r="G10" s="26"/>
      <c r="H10" s="27"/>
      <c r="I10" s="21" t="s">
        <v>51</v>
      </c>
      <c r="J10" s="23"/>
      <c r="K10" s="23"/>
      <c r="L10" s="23"/>
      <c r="M10" s="23"/>
      <c r="N10" s="1"/>
      <c r="O10" s="88">
        <v>9</v>
      </c>
      <c r="P10" s="89" t="s">
        <v>27</v>
      </c>
      <c r="Q10" s="89">
        <v>4</v>
      </c>
      <c r="R10" s="89">
        <v>520</v>
      </c>
      <c r="S10" s="89">
        <v>570</v>
      </c>
      <c r="T10" s="89">
        <v>50</v>
      </c>
      <c r="U10" s="89">
        <v>4</v>
      </c>
      <c r="V10" s="89">
        <v>25</v>
      </c>
      <c r="W10" s="89">
        <v>16</v>
      </c>
      <c r="X10" s="89" t="s">
        <v>37</v>
      </c>
      <c r="Y10" s="89">
        <v>0.14</v>
      </c>
      <c r="Z10" s="91">
        <v>37.5</v>
      </c>
      <c r="AA10" s="91">
        <v>17</v>
      </c>
      <c r="AB10" s="90" t="s">
        <v>124</v>
      </c>
      <c r="AC10" s="89"/>
      <c r="AD10" s="89"/>
      <c r="AE10" s="84"/>
    </row>
    <row r="11" spans="1:31" ht="15">
      <c r="A11" s="45"/>
      <c r="B11" s="26"/>
      <c r="C11" s="26"/>
      <c r="D11" s="27"/>
      <c r="E11" s="25"/>
      <c r="F11" s="26"/>
      <c r="G11" s="26"/>
      <c r="H11" s="27"/>
      <c r="I11" s="21"/>
      <c r="J11" s="23"/>
      <c r="K11" s="23"/>
      <c r="L11" s="23"/>
      <c r="M11" s="23"/>
      <c r="N11" s="1"/>
      <c r="O11" s="88">
        <v>10</v>
      </c>
      <c r="P11" s="89" t="s">
        <v>44</v>
      </c>
      <c r="Q11" s="89">
        <v>4</v>
      </c>
      <c r="R11" s="89">
        <v>500</v>
      </c>
      <c r="S11" s="89">
        <v>500</v>
      </c>
      <c r="T11" s="89">
        <v>50</v>
      </c>
      <c r="U11" s="89">
        <v>4</v>
      </c>
      <c r="V11" s="89">
        <v>25</v>
      </c>
      <c r="W11" s="89">
        <v>16</v>
      </c>
      <c r="X11" s="89" t="s">
        <v>37</v>
      </c>
      <c r="Y11" s="89">
        <v>0.15</v>
      </c>
      <c r="Z11" s="91">
        <v>41.62</v>
      </c>
      <c r="AA11" s="91">
        <v>14.69</v>
      </c>
      <c r="AB11" s="90" t="s">
        <v>124</v>
      </c>
      <c r="AC11" s="89"/>
      <c r="AD11" s="89"/>
      <c r="AE11" s="84"/>
    </row>
    <row r="12" spans="1:31" ht="15">
      <c r="A12" s="45"/>
      <c r="B12" s="26"/>
      <c r="C12" s="26"/>
      <c r="D12" s="27"/>
      <c r="E12" s="25"/>
      <c r="F12" s="26"/>
      <c r="G12" s="26"/>
      <c r="H12" s="27"/>
      <c r="I12" s="21"/>
      <c r="J12" s="23"/>
      <c r="K12" s="23"/>
      <c r="L12" s="23"/>
      <c r="M12" s="23"/>
      <c r="N12" s="1"/>
      <c r="O12" s="88">
        <v>11</v>
      </c>
      <c r="P12" s="89" t="s">
        <v>48</v>
      </c>
      <c r="Q12" s="89">
        <v>4</v>
      </c>
      <c r="R12" s="89">
        <v>800</v>
      </c>
      <c r="S12" s="89">
        <v>570</v>
      </c>
      <c r="T12" s="89">
        <v>50</v>
      </c>
      <c r="U12" s="89">
        <v>4</v>
      </c>
      <c r="V12" s="89">
        <v>30</v>
      </c>
      <c r="W12" s="89">
        <v>16</v>
      </c>
      <c r="X12" s="89" t="s">
        <v>37</v>
      </c>
      <c r="Y12" s="89">
        <v>0.2</v>
      </c>
      <c r="Z12" s="91">
        <v>69.36</v>
      </c>
      <c r="AA12" s="91">
        <v>9.659</v>
      </c>
      <c r="AB12" s="90" t="s">
        <v>124</v>
      </c>
      <c r="AC12" s="89"/>
      <c r="AD12" s="89"/>
      <c r="AE12" s="84"/>
    </row>
    <row r="13" spans="1:31" s="71" customFormat="1" ht="15">
      <c r="A13" s="73"/>
      <c r="B13" s="74"/>
      <c r="C13" s="74"/>
      <c r="D13" s="70"/>
      <c r="E13" s="74"/>
      <c r="F13" s="74"/>
      <c r="G13" s="74"/>
      <c r="H13" s="75"/>
      <c r="I13" s="76"/>
      <c r="J13" s="76"/>
      <c r="K13" s="76"/>
      <c r="L13" s="76"/>
      <c r="M13" s="21"/>
      <c r="N13" s="21"/>
      <c r="O13" s="70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85"/>
    </row>
    <row r="14" spans="1:31" s="71" customFormat="1" ht="15">
      <c r="A14" s="73"/>
      <c r="B14" s="74"/>
      <c r="C14" s="74"/>
      <c r="D14" s="70"/>
      <c r="E14" s="74"/>
      <c r="F14" s="74"/>
      <c r="G14" s="74"/>
      <c r="H14" s="75"/>
      <c r="I14" s="76"/>
      <c r="J14" s="76"/>
      <c r="K14" s="76"/>
      <c r="L14" s="76"/>
      <c r="M14" s="21"/>
      <c r="N14" s="21"/>
      <c r="O14" s="70"/>
      <c r="P14" s="92">
        <v>1</v>
      </c>
      <c r="Q14" s="92">
        <v>2</v>
      </c>
      <c r="R14" s="92">
        <v>3</v>
      </c>
      <c r="S14" s="92">
        <v>4</v>
      </c>
      <c r="T14" s="92">
        <v>5</v>
      </c>
      <c r="U14" s="92">
        <v>6</v>
      </c>
      <c r="V14" s="92">
        <v>7</v>
      </c>
      <c r="W14" s="92">
        <v>8</v>
      </c>
      <c r="X14" s="92">
        <v>9</v>
      </c>
      <c r="Y14" s="92">
        <v>10</v>
      </c>
      <c r="Z14" s="92">
        <v>11</v>
      </c>
      <c r="AA14" s="92">
        <v>12</v>
      </c>
      <c r="AB14" s="92">
        <v>13</v>
      </c>
      <c r="AC14" s="92"/>
      <c r="AD14" s="93">
        <v>3</v>
      </c>
      <c r="AE14" s="85"/>
    </row>
    <row r="15" spans="1:31" s="71" customFormat="1" ht="15">
      <c r="A15" s="104">
        <f>IF(OR((J30*9.81/1000+C34)*J20^2/8+(J29*9.81/1000)*J20/4+(J33*9.81/1000)*J20/N35&gt;G35,J37&gt;G36),"Wählen Sie ein anderes System für diese Belastung !","")</f>
      </c>
      <c r="B15" s="74"/>
      <c r="C15" s="74"/>
      <c r="D15" s="70"/>
      <c r="E15" s="103">
        <f>IF(OR((J30*9.81/1000+C34)*J20^2/8+(J29*9.81/1000)*J20/4+(J33*9.81/1000)*J20/N35&gt;G35,J37&gt;G36),"Wählen Sie ein anderes System für diese Belastung !","")</f>
      </c>
      <c r="F15" s="74"/>
      <c r="G15" s="74"/>
      <c r="H15" s="75"/>
      <c r="I15" s="103">
        <f>IF(OR((J30*9.81/1000+C34)*J20^2/8+(J29*9.81/1000)*J20/4+(J33*9.81/1000)*J20/N35&gt;G35,J37&gt;G36),"Wählen Sie ein anderes System für diese Belastung !","")</f>
      </c>
      <c r="J15" s="76"/>
      <c r="K15" s="76"/>
      <c r="L15" s="76"/>
      <c r="M15" s="21"/>
      <c r="N15" s="21"/>
      <c r="O15" s="70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85"/>
    </row>
    <row r="16" spans="1:31" s="71" customFormat="1" ht="15">
      <c r="A16" s="73"/>
      <c r="B16" s="74"/>
      <c r="C16" s="74"/>
      <c r="D16" s="70"/>
      <c r="E16" s="74"/>
      <c r="F16" s="74"/>
      <c r="G16" s="74"/>
      <c r="H16" s="75"/>
      <c r="I16" s="76"/>
      <c r="J16" s="76"/>
      <c r="K16" s="76"/>
      <c r="L16" s="76"/>
      <c r="M16" s="21"/>
      <c r="N16" s="21"/>
      <c r="O16" s="70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85"/>
    </row>
    <row r="17" spans="1:31" ht="15.75" thickBot="1">
      <c r="A17" s="46"/>
      <c r="B17" s="42"/>
      <c r="C17" s="42"/>
      <c r="D17" s="43"/>
      <c r="E17" s="41"/>
      <c r="F17" s="42"/>
      <c r="G17" s="42"/>
      <c r="H17" s="43"/>
      <c r="I17" s="42"/>
      <c r="J17" s="42"/>
      <c r="K17" s="42"/>
      <c r="L17" s="42"/>
      <c r="M17" s="42"/>
      <c r="N17" s="42"/>
      <c r="O17" s="43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84"/>
    </row>
    <row r="18" spans="1:30" ht="18">
      <c r="A18" s="102" t="s">
        <v>52</v>
      </c>
      <c r="B18" s="5"/>
      <c r="C18" s="5"/>
      <c r="D18" s="15"/>
      <c r="E18" s="101" t="s">
        <v>53</v>
      </c>
      <c r="F18" s="1"/>
      <c r="G18" s="1"/>
      <c r="H18" s="50"/>
      <c r="I18" s="101" t="s">
        <v>3</v>
      </c>
      <c r="J18" s="1"/>
      <c r="K18" s="1"/>
      <c r="L18" s="1"/>
      <c r="M18" s="1"/>
      <c r="N18" s="1"/>
      <c r="O18" s="15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</row>
    <row r="19" spans="1:28" ht="18">
      <c r="A19" s="47"/>
      <c r="B19" s="5"/>
      <c r="C19" s="5"/>
      <c r="D19" s="15"/>
      <c r="E19" s="1"/>
      <c r="F19" s="1"/>
      <c r="G19" s="1"/>
      <c r="H19" s="15"/>
      <c r="I19" s="1"/>
      <c r="J19" s="1"/>
      <c r="K19" s="1"/>
      <c r="L19" s="1" t="s">
        <v>78</v>
      </c>
      <c r="M19" s="1"/>
      <c r="N19" s="1"/>
      <c r="O19" s="15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5">
      <c r="A20" s="14" t="s">
        <v>54</v>
      </c>
      <c r="B20" s="87" t="str">
        <f>LOOKUP(AD14,O2:O12,P2:P12)</f>
        <v>FD34</v>
      </c>
      <c r="C20" s="34">
        <f>IF(B20="FD32","ask your dealer",IF(B20="FD42","ask your dealer",IF(B20="expoline","ask your dealer","")))</f>
      </c>
      <c r="D20" s="15"/>
      <c r="E20" s="1"/>
      <c r="F20" s="1"/>
      <c r="G20" s="1"/>
      <c r="H20" s="15"/>
      <c r="I20" s="1" t="s">
        <v>77</v>
      </c>
      <c r="J20" s="98">
        <v>9</v>
      </c>
      <c r="K20" s="1" t="s">
        <v>4</v>
      </c>
      <c r="L20" s="6" t="str">
        <f>B20</f>
        <v>FD34</v>
      </c>
      <c r="M20" s="1"/>
      <c r="N20" s="34">
        <f>IF(B20="FD32","ask your dealer",IF(B20="FD42","ask your dealer",IF(B20="expoline","ask your dealer","")))</f>
      </c>
      <c r="O20" s="15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15" ht="12.75">
      <c r="A21" s="14" t="s">
        <v>55</v>
      </c>
      <c r="B21" s="5" t="s">
        <v>41</v>
      </c>
      <c r="C21" s="5"/>
      <c r="D21" s="15"/>
      <c r="E21" s="1"/>
      <c r="F21" s="1"/>
      <c r="G21" s="1"/>
      <c r="H21" s="15"/>
      <c r="I21" s="1"/>
      <c r="J21" s="11"/>
      <c r="K21" s="12"/>
      <c r="L21" s="11"/>
      <c r="M21" s="13"/>
      <c r="N21" s="1"/>
      <c r="O21" s="15"/>
    </row>
    <row r="22" spans="1:15" ht="12.75">
      <c r="A22" s="14"/>
      <c r="B22" s="5" t="s">
        <v>49</v>
      </c>
      <c r="C22" s="5"/>
      <c r="D22" s="15"/>
      <c r="E22" s="1"/>
      <c r="F22" s="1"/>
      <c r="G22" s="1"/>
      <c r="H22" s="15"/>
      <c r="I22" s="1"/>
      <c r="J22" s="106" t="s">
        <v>120</v>
      </c>
      <c r="K22" s="5"/>
      <c r="L22" s="105" t="s">
        <v>82</v>
      </c>
      <c r="M22" s="15"/>
      <c r="N22" s="1"/>
      <c r="O22" s="15"/>
    </row>
    <row r="23" spans="1:15" ht="12.75">
      <c r="A23" s="14"/>
      <c r="B23" s="1"/>
      <c r="C23" s="5"/>
      <c r="D23" s="15"/>
      <c r="E23" s="1"/>
      <c r="F23" s="1"/>
      <c r="G23" s="1"/>
      <c r="H23" s="15"/>
      <c r="I23" s="1"/>
      <c r="J23" s="58"/>
      <c r="K23" s="20"/>
      <c r="L23" s="58"/>
      <c r="M23" s="19"/>
      <c r="N23" s="1"/>
      <c r="O23" s="15"/>
    </row>
    <row r="24" spans="1:15" ht="12.75">
      <c r="A24" s="48" t="s">
        <v>56</v>
      </c>
      <c r="B24" s="5"/>
      <c r="C24" s="5"/>
      <c r="D24" s="15"/>
      <c r="E24" s="28" t="s">
        <v>67</v>
      </c>
      <c r="F24" s="5"/>
      <c r="G24" s="5"/>
      <c r="H24" s="15"/>
      <c r="I24" s="59" t="s">
        <v>121</v>
      </c>
      <c r="J24" s="60">
        <f>IF(G35*8/J20^2*J20/2&lt;G36,G35*8/J20^2/9.81*1000,G36*1000/9.81*2/J20)</f>
        <v>101.68510338405002</v>
      </c>
      <c r="K24" s="61" t="s">
        <v>5</v>
      </c>
      <c r="L24" s="62">
        <f>(5*J24/1000*9.81*((J20*1000)^4))/(384*70000*G28*10000)</f>
        <v>68.70329391214254</v>
      </c>
      <c r="M24" s="63" t="s">
        <v>6</v>
      </c>
      <c r="N24" s="68"/>
      <c r="O24" s="13"/>
    </row>
    <row r="25" spans="1:15" ht="14.25">
      <c r="A25" s="49" t="s">
        <v>57</v>
      </c>
      <c r="B25" s="5"/>
      <c r="C25" s="30">
        <f>VLOOKUP(B20,P2:AB12,2,0)</f>
        <v>4</v>
      </c>
      <c r="D25" s="15"/>
      <c r="E25" s="29" t="s">
        <v>70</v>
      </c>
      <c r="F25" s="5" t="s">
        <v>7</v>
      </c>
      <c r="G25" s="32">
        <f>C25*(3.1416/4*(C29^2-(C29-C30*2)^2)/100)</f>
        <v>12.063744</v>
      </c>
      <c r="H25" s="15"/>
      <c r="I25" s="64" t="s">
        <v>79</v>
      </c>
      <c r="J25" s="60">
        <f>C34/9.81*1000</f>
        <v>5.096839959225281</v>
      </c>
      <c r="K25" s="61" t="s">
        <v>5</v>
      </c>
      <c r="L25" s="65">
        <f>(5*J25/1000*9.81*((J20*1000)^4))/(384*70000*G28*10000)</f>
        <v>3.443667578517047</v>
      </c>
      <c r="M25" s="66" t="s">
        <v>6</v>
      </c>
      <c r="N25" s="14"/>
      <c r="O25" s="15"/>
    </row>
    <row r="26" spans="1:16" ht="14.25">
      <c r="A26" s="14" t="s">
        <v>58</v>
      </c>
      <c r="B26" s="5" t="s">
        <v>6</v>
      </c>
      <c r="C26" s="30">
        <f>VLOOKUP(B20,P2:AB12,3,0)</f>
        <v>290</v>
      </c>
      <c r="D26" s="15"/>
      <c r="E26" s="5" t="s">
        <v>68</v>
      </c>
      <c r="F26" s="5" t="s">
        <v>8</v>
      </c>
      <c r="G26" s="33">
        <f>IF(C25=4,(C26/10-C29/10)/2,IF(C25=3,(C26/10-C29/10)/3,IF(C25=2,(C26/10-C29/10)/2,"new input")))</f>
        <v>12</v>
      </c>
      <c r="H26" s="15"/>
      <c r="I26" s="64" t="s">
        <v>122</v>
      </c>
      <c r="J26" s="60">
        <f>J24-J25</f>
        <v>96.58826342482475</v>
      </c>
      <c r="K26" s="61" t="s">
        <v>5</v>
      </c>
      <c r="L26" s="29"/>
      <c r="M26" s="67"/>
      <c r="N26" s="69"/>
      <c r="O26" s="19"/>
      <c r="P26" s="107"/>
    </row>
    <row r="27" spans="1:15" ht="14.25">
      <c r="A27" s="14" t="s">
        <v>59</v>
      </c>
      <c r="B27" s="5" t="s">
        <v>6</v>
      </c>
      <c r="C27" s="30">
        <f>VLOOKUP(B20,P2:AB12,4,0)</f>
        <v>290</v>
      </c>
      <c r="D27" s="15"/>
      <c r="E27" s="5" t="s">
        <v>69</v>
      </c>
      <c r="F27" s="5" t="s">
        <v>9</v>
      </c>
      <c r="G27" s="32">
        <f>(3.1416/64*(C29^4-(C29-C30*2)^4)/10000)</f>
        <v>8.70097536</v>
      </c>
      <c r="H27" s="15"/>
      <c r="I27" s="1"/>
      <c r="J27" s="2"/>
      <c r="K27" s="16"/>
      <c r="L27" s="38"/>
      <c r="M27" s="15"/>
      <c r="N27" s="1"/>
      <c r="O27" s="15"/>
    </row>
    <row r="28" spans="1:15" ht="14.25">
      <c r="A28" s="14" t="s">
        <v>60</v>
      </c>
      <c r="B28" s="5" t="s">
        <v>50</v>
      </c>
      <c r="C28" s="31" t="str">
        <f>VLOOKUP(B20,P2:AB12,13,0)</f>
        <v>FD</v>
      </c>
      <c r="D28" s="15"/>
      <c r="E28" s="5" t="s">
        <v>71</v>
      </c>
      <c r="F28" s="5" t="s">
        <v>9</v>
      </c>
      <c r="G28" s="32">
        <f>IF(C25=4,C25*(G27+G25/C25*G26^2),IF(C25=3,2*(G27+G25/C25*G26^2)+(G27+G25/C25*(G26*2)^2),IF(C25=2,C25*(G27+G25/C25*G26^2),)))</f>
        <v>1771.9830374399999</v>
      </c>
      <c r="H28" s="15"/>
      <c r="I28" s="1"/>
      <c r="J28" s="2"/>
      <c r="K28" s="16"/>
      <c r="L28" s="38"/>
      <c r="M28" s="15"/>
      <c r="N28" s="1"/>
      <c r="O28" s="15"/>
    </row>
    <row r="29" spans="1:15" ht="12.75">
      <c r="A29" s="14" t="s">
        <v>61</v>
      </c>
      <c r="B29" s="5" t="s">
        <v>6</v>
      </c>
      <c r="C29" s="30">
        <f>VLOOKUP(B20,P2:AB12,5,0)</f>
        <v>50</v>
      </c>
      <c r="D29" s="15"/>
      <c r="E29" s="5" t="s">
        <v>72</v>
      </c>
      <c r="F29" s="5" t="s">
        <v>8</v>
      </c>
      <c r="G29" s="32">
        <f>SQRT((G27/(G25/C25)))</f>
        <v>1.6985287751463027</v>
      </c>
      <c r="H29" s="15"/>
      <c r="I29" s="17" t="s">
        <v>80</v>
      </c>
      <c r="J29" s="97">
        <v>0</v>
      </c>
      <c r="K29" s="17" t="s">
        <v>10</v>
      </c>
      <c r="L29" s="39">
        <f>((J29*9.81)*(J20*1000)^3)/(48*70000*(G28*10^4))</f>
        <v>0</v>
      </c>
      <c r="M29" s="13" t="s">
        <v>6</v>
      </c>
      <c r="N29" s="37" t="s">
        <v>83</v>
      </c>
      <c r="O29" s="52"/>
    </row>
    <row r="30" spans="1:15" ht="12.75">
      <c r="A30" s="14" t="s">
        <v>62</v>
      </c>
      <c r="B30" s="5" t="s">
        <v>6</v>
      </c>
      <c r="C30" s="30">
        <f>VLOOKUP(B20,P2:AB12,6,0)</f>
        <v>2</v>
      </c>
      <c r="D30" s="15"/>
      <c r="E30" s="5" t="s">
        <v>73</v>
      </c>
      <c r="F30" s="5" t="s">
        <v>8</v>
      </c>
      <c r="G30" s="32">
        <f>SQRT((G28/G25))</f>
        <v>12.119612205017122</v>
      </c>
      <c r="H30" s="15"/>
      <c r="I30" s="18" t="s">
        <v>81</v>
      </c>
      <c r="J30" s="96">
        <v>0</v>
      </c>
      <c r="K30" s="18" t="s">
        <v>5</v>
      </c>
      <c r="L30" s="7">
        <f>(5*(J30/1000*9.81+C34)*((J20*1000)^4))/(384*70000*G28*10000)</f>
        <v>3.4436675785170463</v>
      </c>
      <c r="M30" s="15" t="s">
        <v>6</v>
      </c>
      <c r="N30" s="37" t="s">
        <v>84</v>
      </c>
      <c r="O30" s="52"/>
    </row>
    <row r="31" spans="1:15" ht="14.25">
      <c r="A31" s="14" t="s">
        <v>63</v>
      </c>
      <c r="B31" s="5" t="s">
        <v>6</v>
      </c>
      <c r="C31" s="30">
        <f>VLOOKUP(B20,P2:AB12,7,0)</f>
        <v>20</v>
      </c>
      <c r="D31" s="15"/>
      <c r="E31" s="5" t="s">
        <v>74</v>
      </c>
      <c r="F31" s="5" t="s">
        <v>11</v>
      </c>
      <c r="G31" s="32">
        <f>IF(C25=4,G28/(G26+C29/10/2),IF(C25=3,G28/(G26*2+C29/10/2),IF(C25=4,G28/(G26+C29/10/2))))</f>
        <v>122.20572671999999</v>
      </c>
      <c r="H31" s="15"/>
      <c r="I31" s="20" t="s">
        <v>82</v>
      </c>
      <c r="J31" s="3"/>
      <c r="K31" s="20"/>
      <c r="L31" s="8">
        <f>L29+L30</f>
        <v>3.4436675785170463</v>
      </c>
      <c r="M31" s="19" t="s">
        <v>6</v>
      </c>
      <c r="N31" s="37" t="s">
        <v>84</v>
      </c>
      <c r="O31" s="52"/>
    </row>
    <row r="32" spans="1:15" ht="12.75">
      <c r="A32" s="14" t="s">
        <v>64</v>
      </c>
      <c r="B32" s="5" t="s">
        <v>6</v>
      </c>
      <c r="C32" s="30">
        <f>VLOOKUP(B20,P2:AB12,8,0)</f>
        <v>12</v>
      </c>
      <c r="D32" s="15"/>
      <c r="E32" s="1"/>
      <c r="F32" s="1"/>
      <c r="G32" s="6"/>
      <c r="H32" s="15"/>
      <c r="I32" s="1"/>
      <c r="J32" s="1"/>
      <c r="K32" s="1"/>
      <c r="L32" s="1"/>
      <c r="M32" s="1"/>
      <c r="N32" s="11"/>
      <c r="O32" s="13"/>
    </row>
    <row r="33" spans="1:15" ht="12.75">
      <c r="A33" s="14" t="s">
        <v>65</v>
      </c>
      <c r="B33" s="5" t="s">
        <v>17</v>
      </c>
      <c r="C33" s="31" t="str">
        <f>VLOOKUP(B20,P2:AB12,9,0)</f>
        <v>AlMgSi1F31</v>
      </c>
      <c r="D33" s="15"/>
      <c r="E33" s="5"/>
      <c r="F33" s="5"/>
      <c r="G33" s="30"/>
      <c r="H33" s="15"/>
      <c r="I33" s="12" t="s">
        <v>85</v>
      </c>
      <c r="J33" s="95">
        <v>0</v>
      </c>
      <c r="K33" s="12" t="s">
        <v>10</v>
      </c>
      <c r="L33" s="12" t="s">
        <v>87</v>
      </c>
      <c r="M33" s="12"/>
      <c r="N33" s="14" t="s">
        <v>82</v>
      </c>
      <c r="O33" s="15"/>
    </row>
    <row r="34" spans="1:15" ht="12.75">
      <c r="A34" s="14" t="s">
        <v>66</v>
      </c>
      <c r="B34" s="5" t="s">
        <v>12</v>
      </c>
      <c r="C34" s="30">
        <f>VLOOKUP(B20,P2:AB12,10,0)</f>
        <v>0.05</v>
      </c>
      <c r="D34" s="15"/>
      <c r="E34" s="5"/>
      <c r="F34" s="5"/>
      <c r="G34" s="30"/>
      <c r="H34" s="15"/>
      <c r="I34" s="20" t="s">
        <v>86</v>
      </c>
      <c r="J34" s="94">
        <v>3</v>
      </c>
      <c r="K34" s="20"/>
      <c r="L34" s="40">
        <f>IF(J34&lt;3,"only 3 - 6 loads",IF(J34&gt;6,"only 3 - 6 loads",""))</f>
      </c>
      <c r="M34" s="20"/>
      <c r="N34" s="14" t="s">
        <v>88</v>
      </c>
      <c r="O34" s="15"/>
    </row>
    <row r="35" spans="1:15" ht="27">
      <c r="A35" s="14"/>
      <c r="B35" s="5"/>
      <c r="C35" s="30"/>
      <c r="D35" s="15"/>
      <c r="E35" s="5" t="s">
        <v>75</v>
      </c>
      <c r="F35" s="5" t="s">
        <v>13</v>
      </c>
      <c r="G35" s="30">
        <f>VLOOKUP(B20,P2:AB12,11,0)</f>
        <v>10.1</v>
      </c>
      <c r="H35" s="15"/>
      <c r="I35" s="24" t="s">
        <v>119</v>
      </c>
      <c r="J35" s="111" t="str">
        <f>IF(OR((J30*9.81/1000+C34)*J20^2/8+(J29*9.81/1000)*J20/4+(J33*9.81/1000)*J20/N35&gt;G35,J37&gt;G36),"","zulässig")</f>
        <v>zulässig</v>
      </c>
      <c r="K35" s="108"/>
      <c r="L35" s="110">
        <f>IF(OR((J30*9.81/1000+C34)*J20^2/8+(J29*9.81/1000)*J20/4+(J33*9.81/1000)*J20/N35&gt;G35,J37&gt;G36),"Überlast","")</f>
      </c>
      <c r="M35" s="20"/>
      <c r="N35" s="51">
        <f>IF(J34=3,2.4,IF(J34=4,2,IF(J34=5,1.54,IF(J34=6,1.33,"new input"))))</f>
        <v>2.4</v>
      </c>
      <c r="O35" s="19"/>
    </row>
    <row r="36" spans="1:15" ht="12.75">
      <c r="A36" s="14"/>
      <c r="B36" s="5"/>
      <c r="C36" s="5"/>
      <c r="D36" s="15"/>
      <c r="E36" s="5" t="s">
        <v>76</v>
      </c>
      <c r="F36" s="5" t="s">
        <v>14</v>
      </c>
      <c r="G36" s="30">
        <f>VLOOKUP(B20,P2:AB12,12,0)</f>
        <v>11.6</v>
      </c>
      <c r="H36" s="15"/>
      <c r="I36" s="22" t="s">
        <v>15</v>
      </c>
      <c r="J36" s="4">
        <f>(J30*9.81/1000+C34)*J20^2/8+(J29*9.81/1000)*J20/4+(J33*9.81/1000)*J20/N35</f>
        <v>0.50625</v>
      </c>
      <c r="K36" s="1">
        <f>IF(L36&lt;0,0,L36)</f>
        <v>9.59375</v>
      </c>
      <c r="L36" s="5">
        <f>G35-J36</f>
        <v>9.59375</v>
      </c>
      <c r="M36" s="1"/>
      <c r="N36" s="1"/>
      <c r="O36" s="15"/>
    </row>
    <row r="37" spans="1:16" ht="14.25">
      <c r="A37" s="86" t="s">
        <v>100</v>
      </c>
      <c r="B37" s="5"/>
      <c r="C37" s="5"/>
      <c r="D37" s="15"/>
      <c r="E37" s="5"/>
      <c r="F37" s="5"/>
      <c r="G37" s="5"/>
      <c r="H37" s="15"/>
      <c r="I37" s="22" t="s">
        <v>16</v>
      </c>
      <c r="J37" s="1">
        <f>(J20*(J25+J30)+J29+J34*J33)/2*9.81/1000</f>
        <v>0.225</v>
      </c>
      <c r="K37" s="1">
        <f>IF(L37&lt;0,0,L37)</f>
        <v>11.375</v>
      </c>
      <c r="L37" s="5">
        <f>G36-J37</f>
        <v>11.375</v>
      </c>
      <c r="M37" s="1"/>
      <c r="N37" s="1"/>
      <c r="O37" s="15"/>
      <c r="P37" s="109"/>
    </row>
    <row r="38" spans="1:15" ht="12.75">
      <c r="A38" s="14" t="s">
        <v>101</v>
      </c>
      <c r="B38" s="5"/>
      <c r="C38" s="5"/>
      <c r="D38" s="15"/>
      <c r="E38" s="5"/>
      <c r="F38" s="5"/>
      <c r="G38" s="5"/>
      <c r="H38" s="15"/>
      <c r="I38" s="1"/>
      <c r="J38" s="1"/>
      <c r="K38" s="1"/>
      <c r="L38" s="5"/>
      <c r="M38" s="1"/>
      <c r="N38" s="1"/>
      <c r="O38" s="15"/>
    </row>
    <row r="39" spans="1:15" ht="12.75">
      <c r="A39" s="14"/>
      <c r="B39" s="5"/>
      <c r="C39" s="5"/>
      <c r="D39" s="15"/>
      <c r="E39" s="5"/>
      <c r="F39" s="5"/>
      <c r="G39" s="5"/>
      <c r="H39" s="15"/>
      <c r="I39" s="1"/>
      <c r="J39" s="1"/>
      <c r="K39" s="1"/>
      <c r="L39" s="5"/>
      <c r="M39" s="1"/>
      <c r="N39" s="1"/>
      <c r="O39" s="15"/>
    </row>
    <row r="40" spans="1:15" ht="25.5">
      <c r="A40" s="54">
        <f>IF(OR((J30*9.81/1000+C34)*J20^2/8+(J29*9.81/1000)*J20/4+(J33*9.81/1000)*J20/N35&gt;G35,J37&gt;G36),"Überlastung - unzulässig !","")</f>
      </c>
      <c r="B40" s="5"/>
      <c r="C40" s="5"/>
      <c r="D40" s="15"/>
      <c r="E40" s="1"/>
      <c r="F40" s="5"/>
      <c r="G40" s="5"/>
      <c r="H40" s="15"/>
      <c r="I40" s="1"/>
      <c r="J40" s="1"/>
      <c r="K40" s="1"/>
      <c r="L40" s="5"/>
      <c r="M40" s="1"/>
      <c r="N40" s="5"/>
      <c r="O40" s="15"/>
    </row>
    <row r="41" spans="1:15" ht="15">
      <c r="A41" s="14"/>
      <c r="B41" s="5"/>
      <c r="C41" s="5"/>
      <c r="D41" s="15"/>
      <c r="E41" s="36"/>
      <c r="F41" s="5"/>
      <c r="G41" s="5"/>
      <c r="H41" s="15"/>
      <c r="I41" s="1"/>
      <c r="J41" s="1"/>
      <c r="K41" s="1"/>
      <c r="L41" s="5"/>
      <c r="M41" s="1"/>
      <c r="N41" s="1"/>
      <c r="O41" s="15"/>
    </row>
    <row r="42" spans="1:15" ht="12.75">
      <c r="A42" s="14"/>
      <c r="B42" s="5"/>
      <c r="C42" s="5"/>
      <c r="D42" s="15"/>
      <c r="E42" s="5"/>
      <c r="F42" s="5"/>
      <c r="G42" s="5"/>
      <c r="H42" s="15"/>
      <c r="I42" s="1"/>
      <c r="J42" s="1"/>
      <c r="K42" s="1"/>
      <c r="L42" s="5"/>
      <c r="M42" s="1"/>
      <c r="N42" s="1"/>
      <c r="O42" s="15"/>
    </row>
    <row r="43" spans="1:15" ht="12.75">
      <c r="A43" s="14"/>
      <c r="B43" s="5"/>
      <c r="C43" s="5"/>
      <c r="D43" s="15"/>
      <c r="E43" s="5"/>
      <c r="F43" s="5"/>
      <c r="G43" s="5"/>
      <c r="H43" s="15"/>
      <c r="I43" s="1"/>
      <c r="J43" s="1"/>
      <c r="K43" s="1"/>
      <c r="L43" s="5"/>
      <c r="M43" s="1"/>
      <c r="N43" s="1"/>
      <c r="O43" s="15"/>
    </row>
    <row r="44" spans="1:15" ht="12.75">
      <c r="A44" s="14"/>
      <c r="B44" s="5"/>
      <c r="C44" s="5"/>
      <c r="D44" s="15"/>
      <c r="E44" s="5"/>
      <c r="F44" s="5"/>
      <c r="G44" s="5"/>
      <c r="H44" s="15"/>
      <c r="I44" s="1"/>
      <c r="J44" s="1"/>
      <c r="K44" s="1"/>
      <c r="L44" s="5"/>
      <c r="M44" s="1"/>
      <c r="N44" s="1"/>
      <c r="O44" s="15"/>
    </row>
    <row r="45" spans="1:15" ht="12.75">
      <c r="A45" s="14"/>
      <c r="B45" s="5"/>
      <c r="C45" s="5"/>
      <c r="D45" s="15"/>
      <c r="E45" s="5"/>
      <c r="F45" s="5"/>
      <c r="G45" s="5"/>
      <c r="H45" s="15"/>
      <c r="I45" s="1"/>
      <c r="J45" s="1"/>
      <c r="K45" s="1"/>
      <c r="L45" s="5"/>
      <c r="M45" s="1"/>
      <c r="N45" s="1"/>
      <c r="O45" s="15"/>
    </row>
    <row r="46" spans="1:15" ht="12.75">
      <c r="A46" s="14"/>
      <c r="B46" s="5"/>
      <c r="C46" s="5"/>
      <c r="D46" s="15"/>
      <c r="E46" s="5"/>
      <c r="F46" s="5"/>
      <c r="G46" s="5"/>
      <c r="H46" s="15"/>
      <c r="I46" s="1"/>
      <c r="J46" s="1"/>
      <c r="K46" s="1"/>
      <c r="L46" s="5"/>
      <c r="M46" s="1"/>
      <c r="N46" s="1"/>
      <c r="O46" s="15"/>
    </row>
    <row r="47" spans="1:15" ht="12.75">
      <c r="A47" s="14"/>
      <c r="B47" s="5"/>
      <c r="C47" s="5"/>
      <c r="D47" s="15"/>
      <c r="E47" s="5"/>
      <c r="F47" s="5"/>
      <c r="G47" s="5"/>
      <c r="H47" s="15"/>
      <c r="I47" s="1"/>
      <c r="J47" s="1"/>
      <c r="K47" s="1"/>
      <c r="L47" s="5"/>
      <c r="M47" s="1"/>
      <c r="N47" s="1"/>
      <c r="O47" s="15"/>
    </row>
    <row r="48" spans="1:15" ht="12.75">
      <c r="A48" s="14"/>
      <c r="B48" s="5"/>
      <c r="C48" s="5"/>
      <c r="D48" s="15"/>
      <c r="E48" s="5"/>
      <c r="F48" s="5"/>
      <c r="G48" s="5"/>
      <c r="H48" s="15"/>
      <c r="I48" s="1"/>
      <c r="J48" s="1"/>
      <c r="K48" s="1"/>
      <c r="L48" s="5"/>
      <c r="M48" s="1"/>
      <c r="N48" s="1"/>
      <c r="O48" s="15"/>
    </row>
    <row r="49" spans="1:15" ht="25.5">
      <c r="A49" s="1"/>
      <c r="B49" s="1"/>
      <c r="C49" s="1"/>
      <c r="D49" s="15"/>
      <c r="E49" s="35">
        <f>IF(OR((J30*9.81/1000+C34)*J20^2/8+(J29*9.81/1000)*J20/4+(J33*9.81/1000)*J20/N35&gt;G35,J37&gt;G36),"Überlastung - unzulässig !","")</f>
      </c>
      <c r="F49" s="5"/>
      <c r="G49" s="5"/>
      <c r="H49" s="15"/>
      <c r="I49" s="100">
        <f>IF(OR((J30*9.81/1000+C34)*J20^2/8+(J29*9.81/1000)*J20/4+(J33*9.81/1000)*J20/N35&gt;G35,J37&gt;G36),"Überlastung - unzulässig !","")</f>
      </c>
      <c r="J49" s="1"/>
      <c r="K49" s="1"/>
      <c r="L49" s="5"/>
      <c r="M49" s="1"/>
      <c r="N49" s="1"/>
      <c r="O49" s="15"/>
    </row>
    <row r="50" spans="1:15" ht="12.75">
      <c r="A50" s="1"/>
      <c r="B50" s="1"/>
      <c r="C50" s="1"/>
      <c r="D50" s="15"/>
      <c r="E50" s="1"/>
      <c r="F50" s="5"/>
      <c r="G50" s="5"/>
      <c r="H50" s="15"/>
      <c r="I50" s="1"/>
      <c r="J50" s="1"/>
      <c r="K50" s="1"/>
      <c r="L50" s="5"/>
      <c r="M50" s="1"/>
      <c r="N50" s="1"/>
      <c r="O50" s="15"/>
    </row>
    <row r="51" spans="1:15" ht="12.75">
      <c r="A51" s="49" t="s">
        <v>43</v>
      </c>
      <c r="B51" s="77"/>
      <c r="C51" s="77"/>
      <c r="D51" s="78"/>
      <c r="E51" s="49" t="s">
        <v>43</v>
      </c>
      <c r="F51" s="77"/>
      <c r="G51" s="77"/>
      <c r="H51" s="78"/>
      <c r="I51" s="49" t="s">
        <v>43</v>
      </c>
      <c r="J51" s="79"/>
      <c r="K51" s="79"/>
      <c r="L51" s="77"/>
      <c r="M51" s="79"/>
      <c r="N51" s="79"/>
      <c r="O51" s="15"/>
    </row>
    <row r="52" spans="1:15" ht="12.75">
      <c r="A52" s="49" t="s">
        <v>0</v>
      </c>
      <c r="B52" s="77"/>
      <c r="C52" s="77"/>
      <c r="D52" s="78"/>
      <c r="E52" s="49" t="s">
        <v>0</v>
      </c>
      <c r="F52" s="77"/>
      <c r="G52" s="77"/>
      <c r="H52" s="78"/>
      <c r="I52" s="49" t="s">
        <v>0</v>
      </c>
      <c r="J52" s="79"/>
      <c r="K52" s="79"/>
      <c r="L52" s="77"/>
      <c r="M52" s="79"/>
      <c r="N52" s="79"/>
      <c r="O52" s="15"/>
    </row>
    <row r="53" spans="1:15" ht="12.75">
      <c r="A53" s="49" t="s">
        <v>1</v>
      </c>
      <c r="B53" s="77"/>
      <c r="C53" s="77"/>
      <c r="D53" s="78"/>
      <c r="E53" s="49" t="s">
        <v>1</v>
      </c>
      <c r="F53" s="77"/>
      <c r="G53" s="77"/>
      <c r="H53" s="78"/>
      <c r="I53" s="49" t="s">
        <v>1</v>
      </c>
      <c r="J53" s="79"/>
      <c r="K53" s="79"/>
      <c r="L53" s="77"/>
      <c r="M53" s="79"/>
      <c r="N53" s="79"/>
      <c r="O53" s="15"/>
    </row>
    <row r="54" spans="1:15" ht="12.75">
      <c r="A54" s="80" t="s">
        <v>2</v>
      </c>
      <c r="B54" s="81"/>
      <c r="C54" s="81"/>
      <c r="D54" s="82"/>
      <c r="E54" s="80" t="s">
        <v>2</v>
      </c>
      <c r="F54" s="81"/>
      <c r="G54" s="81"/>
      <c r="H54" s="82"/>
      <c r="I54" s="80" t="s">
        <v>2</v>
      </c>
      <c r="J54" s="83"/>
      <c r="K54" s="83"/>
      <c r="L54" s="81"/>
      <c r="M54" s="83"/>
      <c r="N54" s="83"/>
      <c r="O54" s="15"/>
    </row>
    <row r="55" spans="1:15" ht="12.75">
      <c r="A55" s="49" t="s">
        <v>42</v>
      </c>
      <c r="B55" s="77"/>
      <c r="C55" s="77"/>
      <c r="D55" s="78"/>
      <c r="E55" s="49" t="s">
        <v>42</v>
      </c>
      <c r="F55" s="77"/>
      <c r="G55" s="77"/>
      <c r="H55" s="78"/>
      <c r="I55" s="49" t="s">
        <v>42</v>
      </c>
      <c r="J55" s="79"/>
      <c r="K55" s="79"/>
      <c r="L55" s="77"/>
      <c r="M55" s="79"/>
      <c r="N55" s="79"/>
      <c r="O55" s="15"/>
    </row>
    <row r="56" spans="1:15" ht="13.5" thickBot="1">
      <c r="A56" s="53"/>
      <c r="B56" s="42"/>
      <c r="C56" s="42"/>
      <c r="D56" s="43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3"/>
    </row>
    <row r="57" spans="1:15" ht="12.75">
      <c r="A57" s="48" t="s">
        <v>89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50"/>
    </row>
    <row r="58" spans="1:15" ht="12.75">
      <c r="A58" s="56" t="s">
        <v>90</v>
      </c>
      <c r="B58" s="1" t="s">
        <v>118</v>
      </c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5"/>
    </row>
    <row r="59" spans="1:15" ht="12.75">
      <c r="A59" s="57" t="s">
        <v>91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5"/>
    </row>
    <row r="60" spans="1:15" ht="12.75">
      <c r="A60" s="14" t="s">
        <v>94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5"/>
    </row>
    <row r="61" spans="1:15" ht="12.75">
      <c r="A61" s="14" t="s">
        <v>93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5"/>
    </row>
    <row r="62" spans="1:15" ht="12.75">
      <c r="A62" s="14" t="s">
        <v>92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5"/>
    </row>
    <row r="63" spans="1:15" ht="12.75">
      <c r="A63" s="14" t="s">
        <v>95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5"/>
    </row>
    <row r="64" spans="1:15" ht="12.75">
      <c r="A64" s="14" t="s">
        <v>96</v>
      </c>
      <c r="B64" s="1"/>
      <c r="C64" s="1"/>
      <c r="D64" s="1"/>
      <c r="E64" s="1"/>
      <c r="F64" s="1"/>
      <c r="G64" s="1"/>
      <c r="H64" s="1"/>
      <c r="I64" s="1"/>
      <c r="J64" s="1" t="s">
        <v>103</v>
      </c>
      <c r="K64" s="1"/>
      <c r="L64" s="5"/>
      <c r="M64" s="1"/>
      <c r="N64" s="1"/>
      <c r="O64" s="15"/>
    </row>
    <row r="65" spans="1:15" ht="12.75">
      <c r="A65" s="1" t="s">
        <v>117</v>
      </c>
      <c r="B65" s="1"/>
      <c r="C65" s="1"/>
      <c r="D65" s="1"/>
      <c r="E65" s="1"/>
      <c r="F65" s="1"/>
      <c r="G65" s="1"/>
      <c r="H65" s="1"/>
      <c r="I65" s="1"/>
      <c r="J65" s="1" t="s">
        <v>102</v>
      </c>
      <c r="K65" s="1"/>
      <c r="L65" s="5"/>
      <c r="M65" s="1"/>
      <c r="N65" s="1"/>
      <c r="O65" s="15"/>
    </row>
    <row r="66" spans="1:15" ht="12.75">
      <c r="A66" s="14" t="s">
        <v>112</v>
      </c>
      <c r="B66" s="1"/>
      <c r="C66" s="1"/>
      <c r="D66" s="1"/>
      <c r="E66" s="1"/>
      <c r="F66" s="1"/>
      <c r="G66" s="1"/>
      <c r="H66" s="1"/>
      <c r="I66" s="1"/>
      <c r="J66" s="1" t="s">
        <v>97</v>
      </c>
      <c r="K66" s="1"/>
      <c r="L66" s="5"/>
      <c r="M66" s="1"/>
      <c r="N66" s="1"/>
      <c r="O66" s="15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M67" s="1"/>
      <c r="N67" s="1"/>
      <c r="O67" s="15"/>
    </row>
    <row r="68" spans="1:15" ht="12.75">
      <c r="A68" s="14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  <c r="N68" s="1"/>
      <c r="O68" s="15"/>
    </row>
    <row r="69" spans="1:15" ht="12.7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 t="s">
        <v>98</v>
      </c>
      <c r="N69" s="1"/>
      <c r="O69" s="15"/>
    </row>
    <row r="70" spans="1:15" ht="12.7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 t="s">
        <v>99</v>
      </c>
      <c r="N70" s="1"/>
      <c r="O70" s="15"/>
    </row>
    <row r="71" spans="1:15" ht="12.7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5"/>
    </row>
    <row r="72" spans="1:15" ht="12.7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/>
    </row>
    <row r="73" spans="1:15" ht="12.7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5"/>
    </row>
    <row r="74" spans="1:15" ht="12.7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5"/>
    </row>
    <row r="75" spans="1:15" ht="12.7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5"/>
    </row>
    <row r="76" spans="1:15" ht="12.7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5"/>
    </row>
    <row r="77" spans="1:15" ht="12.7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5"/>
    </row>
    <row r="78" spans="1:15" ht="12.7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5"/>
    </row>
    <row r="79" spans="1:15" ht="12.7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5"/>
    </row>
    <row r="80" spans="1:15" ht="12.75">
      <c r="A80" s="5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9"/>
    </row>
    <row r="81" spans="1:15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</sheetData>
  <sheetProtection password="DC49" sheet="1" objects="1" scenarios="1"/>
  <hyperlinks>
    <hyperlink ref="A54" r:id="rId1" display="http://www.expo-engineering.de"/>
    <hyperlink ref="E54" r:id="rId2" display="http://www.expo-engineering.de"/>
    <hyperlink ref="I54" r:id="rId3" display="http://www.expo-engineering.de"/>
  </hyperlinks>
  <printOptions/>
  <pageMargins left="0.75" right="0.75" top="1" bottom="1" header="0.4921259845" footer="0.4921259845"/>
  <pageSetup horizontalDpi="600" verticalDpi="600" orientation="portrait" paperSize="9" r:id="rId9"/>
  <headerFooter alignWithMargins="0">
    <oddHeader>&amp;C&amp;A</oddHeader>
    <oddFooter>&amp;CSeite &amp;P</oddFooter>
  </headerFooter>
  <drawing r:id="rId8"/>
  <legacyDrawing r:id="rId7"/>
  <oleObjects>
    <oleObject progId="AutoCAD.Drawing.14" shapeId="667717" r:id="rId4"/>
    <oleObject progId="AutoCAD.Drawing.14" shapeId="670275" r:id="rId5"/>
    <oleObject progId="AutoCAD.Drawing.14" shapeId="672203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L41"/>
  <sheetViews>
    <sheetView workbookViewId="0" topLeftCell="A1">
      <selection activeCell="D10" sqref="D10"/>
    </sheetView>
  </sheetViews>
  <sheetFormatPr defaultColWidth="11.421875" defaultRowHeight="12.75"/>
  <cols>
    <col min="1" max="16384" width="11.421875" style="89" customWidth="1"/>
  </cols>
  <sheetData>
    <row r="1" spans="1:12" ht="12.75">
      <c r="A1" s="89" t="s">
        <v>104</v>
      </c>
      <c r="B1" s="89" t="s">
        <v>105</v>
      </c>
      <c r="C1" s="89" t="s">
        <v>106</v>
      </c>
      <c r="D1" s="89" t="s">
        <v>107</v>
      </c>
      <c r="E1" s="89" t="s">
        <v>108</v>
      </c>
      <c r="F1" s="89" t="s">
        <v>109</v>
      </c>
      <c r="G1" s="89" t="s">
        <v>110</v>
      </c>
      <c r="I1" s="89" t="s">
        <v>113</v>
      </c>
      <c r="J1" s="89" t="s">
        <v>114</v>
      </c>
      <c r="K1" s="89" t="s">
        <v>115</v>
      </c>
      <c r="L1" s="89" t="s">
        <v>116</v>
      </c>
    </row>
    <row r="2" spans="1:12" ht="12.75">
      <c r="A2" s="89">
        <v>1</v>
      </c>
      <c r="B2" s="89">
        <f>[0]!_M*8/A2^2-[0]!_g</f>
        <v>80.75</v>
      </c>
      <c r="C2" s="89">
        <f>[0]!_V/Tabelle2!A2*2-[0]!_g</f>
        <v>23.15</v>
      </c>
      <c r="D2" s="89">
        <f>IF(B2&lt;C2,B2,C2)</f>
        <v>23.15</v>
      </c>
      <c r="E2" s="89">
        <f>IF(D2&gt;0,D2,"")</f>
        <v>23.15</v>
      </c>
      <c r="F2" s="89">
        <f>E2/9.81*1000</f>
        <v>2359.836901121305</v>
      </c>
      <c r="G2" s="89">
        <f>F2*A2</f>
        <v>2359.836901121305</v>
      </c>
      <c r="I2" s="89">
        <f>4*(_M-_g*A2^2/8)/A2</f>
        <v>40.375</v>
      </c>
      <c r="J2" s="89">
        <f>2*(_V-_g*A2/2)</f>
        <v>23.15</v>
      </c>
      <c r="K2" s="89">
        <f>IF(I2&lt;J2,I2,J2)</f>
        <v>23.15</v>
      </c>
      <c r="L2" s="89">
        <f>K2*1000/9.81</f>
        <v>2359.836901121305</v>
      </c>
    </row>
    <row r="3" spans="1:12" ht="12.75">
      <c r="A3" s="89">
        <v>2</v>
      </c>
      <c r="B3" s="89">
        <f>[0]!_M*8/A3^2-[0]!_g</f>
        <v>20.15</v>
      </c>
      <c r="C3" s="89">
        <f>[0]!_V/Tabelle2!A3*2-[0]!_g</f>
        <v>11.549999999999999</v>
      </c>
      <c r="D3" s="89">
        <f aca="true" t="shared" si="0" ref="D3:D41">IF(B3&lt;C3,B3,C3)</f>
        <v>11.549999999999999</v>
      </c>
      <c r="E3" s="89">
        <f aca="true" t="shared" si="1" ref="E3:E41">IF(D3&gt;0,D3,"")</f>
        <v>11.549999999999999</v>
      </c>
      <c r="F3" s="89">
        <f aca="true" t="shared" si="2" ref="F3:F41">E3/9.81*1000</f>
        <v>1177.3700305810396</v>
      </c>
      <c r="G3" s="89">
        <f aca="true" t="shared" si="3" ref="G3:G41">F3*A3</f>
        <v>2354.740061162079</v>
      </c>
      <c r="I3" s="89">
        <f aca="true" t="shared" si="4" ref="I3:I41">4*(_M-_g*A3^2/8)/A3</f>
        <v>20.15</v>
      </c>
      <c r="J3" s="89">
        <f aca="true" t="shared" si="5" ref="J3:J41">2*(_V-_g*A3/2)</f>
        <v>23.099999999999998</v>
      </c>
      <c r="K3" s="89">
        <f aca="true" t="shared" si="6" ref="K3:K41">IF(I3&lt;J3,I3,J3)</f>
        <v>20.15</v>
      </c>
      <c r="L3" s="89">
        <f aca="true" t="shared" si="7" ref="L3:L41">K3*1000/9.81</f>
        <v>2054.026503567788</v>
      </c>
    </row>
    <row r="4" spans="1:12" ht="12.75">
      <c r="A4" s="89">
        <v>3</v>
      </c>
      <c r="B4" s="89">
        <f>[0]!_M*8/A4^2-[0]!_g</f>
        <v>8.927777777777777</v>
      </c>
      <c r="C4" s="89">
        <f>[0]!_V/Tabelle2!A4*2-[0]!_g</f>
        <v>7.683333333333334</v>
      </c>
      <c r="D4" s="89">
        <f t="shared" si="0"/>
        <v>7.683333333333334</v>
      </c>
      <c r="E4" s="89">
        <f t="shared" si="1"/>
        <v>7.683333333333334</v>
      </c>
      <c r="F4" s="89">
        <f t="shared" si="2"/>
        <v>783.214407067618</v>
      </c>
      <c r="G4" s="89">
        <f t="shared" si="3"/>
        <v>2349.643221202854</v>
      </c>
      <c r="I4" s="89">
        <f t="shared" si="4"/>
        <v>13.391666666666666</v>
      </c>
      <c r="J4" s="89">
        <f t="shared" si="5"/>
        <v>23.05</v>
      </c>
      <c r="K4" s="89">
        <f t="shared" si="6"/>
        <v>13.391666666666666</v>
      </c>
      <c r="L4" s="89">
        <f t="shared" si="7"/>
        <v>1365.1036357458374</v>
      </c>
    </row>
    <row r="5" spans="1:12" ht="12.75">
      <c r="A5" s="89">
        <v>4</v>
      </c>
      <c r="B5" s="89">
        <f>[0]!_M*8/A5^2-[0]!_g</f>
        <v>5</v>
      </c>
      <c r="C5" s="89">
        <f>[0]!_V/Tabelle2!A5*2-[0]!_g</f>
        <v>5.75</v>
      </c>
      <c r="D5" s="89">
        <f t="shared" si="0"/>
        <v>5</v>
      </c>
      <c r="E5" s="89">
        <f t="shared" si="1"/>
        <v>5</v>
      </c>
      <c r="F5" s="89">
        <f t="shared" si="2"/>
        <v>509.683995922528</v>
      </c>
      <c r="G5" s="89">
        <f t="shared" si="3"/>
        <v>2038.735983690112</v>
      </c>
      <c r="I5" s="89">
        <f t="shared" si="4"/>
        <v>10</v>
      </c>
      <c r="J5" s="89">
        <f t="shared" si="5"/>
        <v>23</v>
      </c>
      <c r="K5" s="89">
        <f t="shared" si="6"/>
        <v>10</v>
      </c>
      <c r="L5" s="89">
        <f t="shared" si="7"/>
        <v>1019.367991845056</v>
      </c>
    </row>
    <row r="6" spans="1:12" ht="12.75">
      <c r="A6" s="89">
        <v>5</v>
      </c>
      <c r="B6" s="89">
        <f>[0]!_M*8/A6^2-[0]!_g</f>
        <v>3.182</v>
      </c>
      <c r="C6" s="89">
        <f>[0]!_V/Tabelle2!A6*2-[0]!_g</f>
        <v>4.59</v>
      </c>
      <c r="D6" s="89">
        <f t="shared" si="0"/>
        <v>3.182</v>
      </c>
      <c r="E6" s="89">
        <f t="shared" si="1"/>
        <v>3.182</v>
      </c>
      <c r="F6" s="89">
        <f t="shared" si="2"/>
        <v>324.3628950050968</v>
      </c>
      <c r="G6" s="89">
        <f t="shared" si="3"/>
        <v>1621.814475025484</v>
      </c>
      <c r="I6" s="89">
        <f t="shared" si="4"/>
        <v>7.955</v>
      </c>
      <c r="J6" s="89">
        <f t="shared" si="5"/>
        <v>22.95</v>
      </c>
      <c r="K6" s="89">
        <f t="shared" si="6"/>
        <v>7.955</v>
      </c>
      <c r="L6" s="89">
        <f t="shared" si="7"/>
        <v>810.9072375127421</v>
      </c>
    </row>
    <row r="7" spans="1:12" ht="12.75">
      <c r="A7" s="89">
        <v>6</v>
      </c>
      <c r="B7" s="89">
        <f>[0]!_M*8/A7^2-[0]!_g</f>
        <v>2.1944444444444446</v>
      </c>
      <c r="C7" s="89">
        <f>[0]!_V/Tabelle2!A7*2-[0]!_g</f>
        <v>3.816666666666667</v>
      </c>
      <c r="D7" s="89">
        <f t="shared" si="0"/>
        <v>2.1944444444444446</v>
      </c>
      <c r="E7" s="89">
        <f t="shared" si="1"/>
        <v>2.1944444444444446</v>
      </c>
      <c r="F7" s="89">
        <f t="shared" si="2"/>
        <v>223.6946426548873</v>
      </c>
      <c r="G7" s="89">
        <f t="shared" si="3"/>
        <v>1342.1678559293239</v>
      </c>
      <c r="I7" s="89">
        <f t="shared" si="4"/>
        <v>6.583333333333333</v>
      </c>
      <c r="J7" s="89">
        <f t="shared" si="5"/>
        <v>22.9</v>
      </c>
      <c r="K7" s="89">
        <f t="shared" si="6"/>
        <v>6.583333333333333</v>
      </c>
      <c r="L7" s="89">
        <f t="shared" si="7"/>
        <v>671.0839279646618</v>
      </c>
    </row>
    <row r="8" spans="1:12" ht="12.75">
      <c r="A8" s="89">
        <v>7</v>
      </c>
      <c r="B8" s="89">
        <f>[0]!_M*8/A8^2-[0]!_g</f>
        <v>1.5989795918367347</v>
      </c>
      <c r="C8" s="89">
        <f>[0]!_V/Tabelle2!A8*2-[0]!_g</f>
        <v>3.2642857142857142</v>
      </c>
      <c r="D8" s="89">
        <f t="shared" si="0"/>
        <v>1.5989795918367347</v>
      </c>
      <c r="E8" s="89">
        <f t="shared" si="1"/>
        <v>1.5989795918367347</v>
      </c>
      <c r="F8" s="89">
        <f t="shared" si="2"/>
        <v>162.99486155318397</v>
      </c>
      <c r="G8" s="89">
        <f t="shared" si="3"/>
        <v>1140.9640308722878</v>
      </c>
      <c r="I8" s="89">
        <f t="shared" si="4"/>
        <v>5.596428571428571</v>
      </c>
      <c r="J8" s="89">
        <f t="shared" si="5"/>
        <v>22.849999999999998</v>
      </c>
      <c r="K8" s="89">
        <f t="shared" si="6"/>
        <v>5.596428571428571</v>
      </c>
      <c r="L8" s="89">
        <f t="shared" si="7"/>
        <v>570.4820154361438</v>
      </c>
    </row>
    <row r="9" spans="1:12" ht="12.75">
      <c r="A9" s="89">
        <v>8</v>
      </c>
      <c r="B9" s="89">
        <f>[0]!_M*8/A9^2-[0]!_g</f>
        <v>1.2125</v>
      </c>
      <c r="C9" s="89">
        <f>[0]!_V/Tabelle2!A9*2-[0]!_g</f>
        <v>2.85</v>
      </c>
      <c r="D9" s="89">
        <f t="shared" si="0"/>
        <v>1.2125</v>
      </c>
      <c r="E9" s="89">
        <f t="shared" si="1"/>
        <v>1.2125</v>
      </c>
      <c r="F9" s="89">
        <f t="shared" si="2"/>
        <v>123.59836901121302</v>
      </c>
      <c r="G9" s="89">
        <f t="shared" si="3"/>
        <v>988.7869520897042</v>
      </c>
      <c r="I9" s="89">
        <f t="shared" si="4"/>
        <v>4.85</v>
      </c>
      <c r="J9" s="89">
        <f t="shared" si="5"/>
        <v>22.8</v>
      </c>
      <c r="K9" s="89">
        <f t="shared" si="6"/>
        <v>4.85</v>
      </c>
      <c r="L9" s="89">
        <f t="shared" si="7"/>
        <v>494.39347604485215</v>
      </c>
    </row>
    <row r="10" spans="1:12" ht="12.75">
      <c r="A10" s="89">
        <v>9</v>
      </c>
      <c r="B10" s="89">
        <f>[0]!_M*8/A10^2-[0]!_g</f>
        <v>0.9475308641975307</v>
      </c>
      <c r="C10" s="89">
        <f>[0]!_V/Tabelle2!A10*2-[0]!_g</f>
        <v>2.5277777777777777</v>
      </c>
      <c r="D10" s="89">
        <f t="shared" si="0"/>
        <v>0.9475308641975307</v>
      </c>
      <c r="E10" s="89">
        <f t="shared" si="1"/>
        <v>0.9475308641975307</v>
      </c>
      <c r="F10" s="89">
        <f t="shared" si="2"/>
        <v>96.58826342482473</v>
      </c>
      <c r="G10" s="89">
        <f t="shared" si="3"/>
        <v>869.2943708234226</v>
      </c>
      <c r="I10" s="89">
        <f t="shared" si="4"/>
        <v>4.263888888888889</v>
      </c>
      <c r="J10" s="89">
        <f t="shared" si="5"/>
        <v>22.75</v>
      </c>
      <c r="K10" s="89">
        <f t="shared" si="6"/>
        <v>4.263888888888889</v>
      </c>
      <c r="L10" s="89">
        <f t="shared" si="7"/>
        <v>434.64718541171146</v>
      </c>
    </row>
    <row r="11" spans="1:12" ht="12.75">
      <c r="A11" s="89">
        <v>10</v>
      </c>
      <c r="B11" s="89">
        <f>[0]!_M*8/A11^2-[0]!_g</f>
        <v>0.7579999999999999</v>
      </c>
      <c r="C11" s="89">
        <f>[0]!_V/Tabelle2!A11*2-[0]!_g</f>
        <v>2.27</v>
      </c>
      <c r="D11" s="89">
        <f t="shared" si="0"/>
        <v>0.7579999999999999</v>
      </c>
      <c r="E11" s="89">
        <f t="shared" si="1"/>
        <v>0.7579999999999999</v>
      </c>
      <c r="F11" s="89">
        <f t="shared" si="2"/>
        <v>77.26809378185523</v>
      </c>
      <c r="G11" s="89">
        <f t="shared" si="3"/>
        <v>772.6809378185523</v>
      </c>
      <c r="I11" s="89">
        <f t="shared" si="4"/>
        <v>3.79</v>
      </c>
      <c r="J11" s="89">
        <f t="shared" si="5"/>
        <v>22.7</v>
      </c>
      <c r="K11" s="89">
        <f t="shared" si="6"/>
        <v>3.79</v>
      </c>
      <c r="L11" s="89">
        <f t="shared" si="7"/>
        <v>386.34046890927624</v>
      </c>
    </row>
    <row r="12" spans="1:12" ht="12.75">
      <c r="A12" s="89">
        <v>11</v>
      </c>
      <c r="B12" s="89">
        <f>[0]!_M*8/A12^2-[0]!_g</f>
        <v>0.6177685950413222</v>
      </c>
      <c r="C12" s="89">
        <f>[0]!_V/Tabelle2!A12*2-[0]!_g</f>
        <v>2.059090909090909</v>
      </c>
      <c r="D12" s="89">
        <f t="shared" si="0"/>
        <v>0.6177685950413222</v>
      </c>
      <c r="E12" s="89">
        <f t="shared" si="1"/>
        <v>0.6177685950413222</v>
      </c>
      <c r="F12" s="89">
        <f t="shared" si="2"/>
        <v>62.97335321522142</v>
      </c>
      <c r="G12" s="89">
        <f t="shared" si="3"/>
        <v>692.7068853674357</v>
      </c>
      <c r="I12" s="89">
        <f t="shared" si="4"/>
        <v>3.397727272727273</v>
      </c>
      <c r="J12" s="89">
        <f t="shared" si="5"/>
        <v>22.65</v>
      </c>
      <c r="K12" s="89">
        <f t="shared" si="6"/>
        <v>3.397727272727273</v>
      </c>
      <c r="L12" s="89">
        <f t="shared" si="7"/>
        <v>346.3534426837179</v>
      </c>
    </row>
    <row r="13" spans="1:12" ht="12.75">
      <c r="A13" s="89">
        <v>12</v>
      </c>
      <c r="B13" s="89">
        <f>[0]!_M*8/A13^2-[0]!_g</f>
        <v>0.5111111111111111</v>
      </c>
      <c r="C13" s="89">
        <f>[0]!_V/Tabelle2!A13*2-[0]!_g</f>
        <v>1.8833333333333333</v>
      </c>
      <c r="D13" s="89">
        <f t="shared" si="0"/>
        <v>0.5111111111111111</v>
      </c>
      <c r="E13" s="89">
        <f t="shared" si="1"/>
        <v>0.5111111111111111</v>
      </c>
      <c r="F13" s="89">
        <f t="shared" si="2"/>
        <v>52.10103069430286</v>
      </c>
      <c r="G13" s="89">
        <f t="shared" si="3"/>
        <v>625.2123683316343</v>
      </c>
      <c r="I13" s="89">
        <f t="shared" si="4"/>
        <v>3.0666666666666664</v>
      </c>
      <c r="J13" s="89">
        <f t="shared" si="5"/>
        <v>22.599999999999998</v>
      </c>
      <c r="K13" s="89">
        <f t="shared" si="6"/>
        <v>3.0666666666666664</v>
      </c>
      <c r="L13" s="89">
        <f t="shared" si="7"/>
        <v>312.6061841658172</v>
      </c>
    </row>
    <row r="14" spans="1:12" ht="12.75">
      <c r="A14" s="89">
        <v>13</v>
      </c>
      <c r="B14" s="89">
        <f>[0]!_M*8/A14^2-[0]!_g</f>
        <v>0.42810650887573964</v>
      </c>
      <c r="C14" s="89">
        <f>[0]!_V/Tabelle2!A14*2-[0]!_g</f>
        <v>1.7346153846153844</v>
      </c>
      <c r="D14" s="89">
        <f t="shared" si="0"/>
        <v>0.42810650887573964</v>
      </c>
      <c r="E14" s="89">
        <f t="shared" si="1"/>
        <v>0.42810650887573964</v>
      </c>
      <c r="F14" s="89">
        <f t="shared" si="2"/>
        <v>43.63980722484604</v>
      </c>
      <c r="G14" s="89">
        <f t="shared" si="3"/>
        <v>567.3174939229984</v>
      </c>
      <c r="I14" s="89">
        <f t="shared" si="4"/>
        <v>2.7826923076923076</v>
      </c>
      <c r="J14" s="89">
        <f t="shared" si="5"/>
        <v>22.55</v>
      </c>
      <c r="K14" s="89">
        <f t="shared" si="6"/>
        <v>2.7826923076923076</v>
      </c>
      <c r="L14" s="89">
        <f t="shared" si="7"/>
        <v>283.6587469614992</v>
      </c>
    </row>
    <row r="15" spans="1:12" ht="12.75">
      <c r="A15" s="89">
        <v>14</v>
      </c>
      <c r="B15" s="89">
        <f>[0]!_M*8/A15^2-[0]!_g</f>
        <v>0.3622448979591837</v>
      </c>
      <c r="C15" s="89">
        <f>[0]!_V/Tabelle2!A15*2-[0]!_g</f>
        <v>1.607142857142857</v>
      </c>
      <c r="D15" s="89">
        <f t="shared" si="0"/>
        <v>0.3622448979591837</v>
      </c>
      <c r="E15" s="89">
        <f t="shared" si="1"/>
        <v>0.3622448979591837</v>
      </c>
      <c r="F15" s="89">
        <f t="shared" si="2"/>
        <v>36.92608541887703</v>
      </c>
      <c r="G15" s="89">
        <f t="shared" si="3"/>
        <v>516.9651958642784</v>
      </c>
      <c r="I15" s="89">
        <f t="shared" si="4"/>
        <v>2.5357142857142856</v>
      </c>
      <c r="J15" s="89">
        <f t="shared" si="5"/>
        <v>22.5</v>
      </c>
      <c r="K15" s="89">
        <f t="shared" si="6"/>
        <v>2.5357142857142856</v>
      </c>
      <c r="L15" s="89">
        <f t="shared" si="7"/>
        <v>258.4825979321392</v>
      </c>
    </row>
    <row r="16" spans="1:12" ht="12.75">
      <c r="A16" s="89">
        <v>15</v>
      </c>
      <c r="B16" s="89">
        <f>[0]!_M*8/A16^2-[0]!_g</f>
        <v>0.3091111111111111</v>
      </c>
      <c r="C16" s="89">
        <f>[0]!_V/Tabelle2!A16*2-[0]!_g</f>
        <v>1.4966666666666666</v>
      </c>
      <c r="D16" s="89">
        <f t="shared" si="0"/>
        <v>0.3091111111111111</v>
      </c>
      <c r="E16" s="89">
        <f t="shared" si="1"/>
        <v>0.3091111111111111</v>
      </c>
      <c r="F16" s="89">
        <f t="shared" si="2"/>
        <v>31.50979725903273</v>
      </c>
      <c r="G16" s="89">
        <f t="shared" si="3"/>
        <v>472.64695888549096</v>
      </c>
      <c r="I16" s="89">
        <f t="shared" si="4"/>
        <v>2.3183333333333334</v>
      </c>
      <c r="J16" s="89">
        <f t="shared" si="5"/>
        <v>22.45</v>
      </c>
      <c r="K16" s="89">
        <f t="shared" si="6"/>
        <v>2.3183333333333334</v>
      </c>
      <c r="L16" s="89">
        <f t="shared" si="7"/>
        <v>236.3234794427455</v>
      </c>
    </row>
    <row r="17" spans="1:12" ht="12.75">
      <c r="A17" s="89">
        <v>16</v>
      </c>
      <c r="B17" s="89">
        <f>[0]!_M*8/A17^2-[0]!_g</f>
        <v>0.265625</v>
      </c>
      <c r="C17" s="89">
        <f>[0]!_V/Tabelle2!A17*2-[0]!_g</f>
        <v>1.4</v>
      </c>
      <c r="D17" s="89">
        <f t="shared" si="0"/>
        <v>0.265625</v>
      </c>
      <c r="E17" s="89">
        <f t="shared" si="1"/>
        <v>0.265625</v>
      </c>
      <c r="F17" s="89">
        <f t="shared" si="2"/>
        <v>27.0769622833843</v>
      </c>
      <c r="G17" s="89">
        <f t="shared" si="3"/>
        <v>433.2313965341488</v>
      </c>
      <c r="I17" s="89">
        <f t="shared" si="4"/>
        <v>2.125</v>
      </c>
      <c r="J17" s="89">
        <f t="shared" si="5"/>
        <v>22.4</v>
      </c>
      <c r="K17" s="89">
        <f t="shared" si="6"/>
        <v>2.125</v>
      </c>
      <c r="L17" s="89">
        <f t="shared" si="7"/>
        <v>216.6156982670744</v>
      </c>
    </row>
    <row r="18" spans="1:12" ht="12.75">
      <c r="A18" s="89">
        <v>17</v>
      </c>
      <c r="B18" s="89">
        <f>[0]!_M*8/A18^2-[0]!_g</f>
        <v>0.2295847750865052</v>
      </c>
      <c r="C18" s="89">
        <f>[0]!_V/Tabelle2!A18*2-[0]!_g</f>
        <v>1.3147058823529412</v>
      </c>
      <c r="D18" s="89">
        <f t="shared" si="0"/>
        <v>0.2295847750865052</v>
      </c>
      <c r="E18" s="89">
        <f t="shared" si="1"/>
        <v>0.2295847750865052</v>
      </c>
      <c r="F18" s="89">
        <f t="shared" si="2"/>
        <v>23.403137113812967</v>
      </c>
      <c r="G18" s="89">
        <f t="shared" si="3"/>
        <v>397.85333093482046</v>
      </c>
      <c r="I18" s="89">
        <f t="shared" si="4"/>
        <v>1.9514705882352938</v>
      </c>
      <c r="J18" s="89">
        <f t="shared" si="5"/>
        <v>22.349999999999998</v>
      </c>
      <c r="K18" s="89">
        <f t="shared" si="6"/>
        <v>1.9514705882352938</v>
      </c>
      <c r="L18" s="89">
        <f t="shared" si="7"/>
        <v>198.92666546741017</v>
      </c>
    </row>
    <row r="19" spans="1:12" ht="12.75">
      <c r="A19" s="89">
        <v>18</v>
      </c>
      <c r="B19" s="89">
        <f>[0]!_M*8/A19^2-[0]!_g</f>
        <v>0.19938271604938268</v>
      </c>
      <c r="C19" s="89">
        <f>[0]!_V/Tabelle2!A19*2-[0]!_g</f>
        <v>1.2388888888888887</v>
      </c>
      <c r="D19" s="89">
        <f t="shared" si="0"/>
        <v>0.19938271604938268</v>
      </c>
      <c r="E19" s="89">
        <f t="shared" si="1"/>
        <v>0.19938271604938268</v>
      </c>
      <c r="F19" s="89">
        <f t="shared" si="2"/>
        <v>20.324435886787224</v>
      </c>
      <c r="G19" s="89">
        <f t="shared" si="3"/>
        <v>365.83984596217005</v>
      </c>
      <c r="I19" s="89">
        <f t="shared" si="4"/>
        <v>1.7944444444444443</v>
      </c>
      <c r="J19" s="89">
        <f t="shared" si="5"/>
        <v>22.3</v>
      </c>
      <c r="K19" s="89">
        <f t="shared" si="6"/>
        <v>1.7944444444444443</v>
      </c>
      <c r="L19" s="89">
        <f t="shared" si="7"/>
        <v>182.91992298108505</v>
      </c>
    </row>
    <row r="20" spans="1:12" ht="12.75">
      <c r="A20" s="89">
        <v>19</v>
      </c>
      <c r="B20" s="89">
        <f>[0]!_M*8/A20^2-[0]!_g</f>
        <v>0.17382271468144045</v>
      </c>
      <c r="C20" s="89">
        <f>[0]!_V/Tabelle2!A20*2-[0]!_g</f>
        <v>1.1710526315789473</v>
      </c>
      <c r="D20" s="89">
        <f t="shared" si="0"/>
        <v>0.17382271468144045</v>
      </c>
      <c r="E20" s="89">
        <f t="shared" si="1"/>
        <v>0.17382271468144045</v>
      </c>
      <c r="F20" s="89">
        <f t="shared" si="2"/>
        <v>17.71893116018761</v>
      </c>
      <c r="G20" s="89">
        <f t="shared" si="3"/>
        <v>336.6596920435646</v>
      </c>
      <c r="I20" s="89">
        <f t="shared" si="4"/>
        <v>1.6513157894736843</v>
      </c>
      <c r="J20" s="89">
        <f t="shared" si="5"/>
        <v>22.25</v>
      </c>
      <c r="K20" s="89">
        <f t="shared" si="6"/>
        <v>1.6513157894736843</v>
      </c>
      <c r="L20" s="89">
        <f t="shared" si="7"/>
        <v>168.3298460217823</v>
      </c>
    </row>
    <row r="21" spans="1:12" ht="12.75">
      <c r="A21" s="89">
        <v>20</v>
      </c>
      <c r="B21" s="89">
        <f>[0]!_M*8/A21^2-[0]!_g</f>
        <v>0.15199999999999997</v>
      </c>
      <c r="C21" s="89">
        <f>[0]!_V/Tabelle2!A21*2-[0]!_g</f>
        <v>1.1099999999999999</v>
      </c>
      <c r="D21" s="89">
        <f t="shared" si="0"/>
        <v>0.15199999999999997</v>
      </c>
      <c r="E21" s="89">
        <f t="shared" si="1"/>
        <v>0.15199999999999997</v>
      </c>
      <c r="F21" s="89">
        <f t="shared" si="2"/>
        <v>15.494393476044849</v>
      </c>
      <c r="G21" s="89">
        <f t="shared" si="3"/>
        <v>309.88786952089697</v>
      </c>
      <c r="I21" s="89">
        <f t="shared" si="4"/>
        <v>1.52</v>
      </c>
      <c r="J21" s="89">
        <f t="shared" si="5"/>
        <v>22.2</v>
      </c>
      <c r="K21" s="89">
        <f t="shared" si="6"/>
        <v>1.52</v>
      </c>
      <c r="L21" s="89">
        <f t="shared" si="7"/>
        <v>154.9439347604485</v>
      </c>
    </row>
    <row r="22" spans="1:12" ht="12.75">
      <c r="A22" s="89">
        <v>21</v>
      </c>
      <c r="B22" s="89">
        <f>[0]!_M*8/A22^2-[0]!_g</f>
        <v>0.1332199546485261</v>
      </c>
      <c r="C22" s="89">
        <f>[0]!_V/Tabelle2!A22*2-[0]!_g</f>
        <v>1.0547619047619048</v>
      </c>
      <c r="D22" s="89">
        <f t="shared" si="0"/>
        <v>0.1332199546485261</v>
      </c>
      <c r="E22" s="89">
        <f t="shared" si="1"/>
        <v>0.1332199546485261</v>
      </c>
      <c r="F22" s="89">
        <f t="shared" si="2"/>
        <v>13.580015764375748</v>
      </c>
      <c r="G22" s="89">
        <f t="shared" si="3"/>
        <v>285.18033105189073</v>
      </c>
      <c r="I22" s="89">
        <f t="shared" si="4"/>
        <v>1.3988095238095237</v>
      </c>
      <c r="J22" s="89">
        <f t="shared" si="5"/>
        <v>22.15</v>
      </c>
      <c r="K22" s="89">
        <f t="shared" si="6"/>
        <v>1.3988095238095237</v>
      </c>
      <c r="L22" s="89">
        <f t="shared" si="7"/>
        <v>142.5901655259453</v>
      </c>
    </row>
    <row r="23" spans="1:12" ht="12.75">
      <c r="A23" s="89">
        <v>22</v>
      </c>
      <c r="B23" s="89">
        <f>[0]!_M*8/A23^2-[0]!_g</f>
        <v>0.11694214876033056</v>
      </c>
      <c r="C23" s="89">
        <f>[0]!_V/Tabelle2!A23*2-[0]!_g</f>
        <v>1.0045454545454544</v>
      </c>
      <c r="D23" s="89">
        <f t="shared" si="0"/>
        <v>0.11694214876033056</v>
      </c>
      <c r="E23" s="89">
        <f t="shared" si="1"/>
        <v>0.11694214876033056</v>
      </c>
      <c r="F23" s="89">
        <f t="shared" si="2"/>
        <v>11.920708334386397</v>
      </c>
      <c r="G23" s="89">
        <f t="shared" si="3"/>
        <v>262.2555833565007</v>
      </c>
      <c r="I23" s="89">
        <f t="shared" si="4"/>
        <v>1.2863636363636362</v>
      </c>
      <c r="J23" s="89">
        <f t="shared" si="5"/>
        <v>22.099999999999998</v>
      </c>
      <c r="K23" s="89">
        <f t="shared" si="6"/>
        <v>1.2863636363636362</v>
      </c>
      <c r="L23" s="89">
        <f t="shared" si="7"/>
        <v>131.1277916782504</v>
      </c>
    </row>
    <row r="24" spans="1:12" ht="12.75">
      <c r="A24" s="89">
        <v>23</v>
      </c>
      <c r="B24" s="89">
        <f>[0]!_M*8/A24^2-[0]!_g</f>
        <v>0.10274102079395085</v>
      </c>
      <c r="C24" s="89">
        <f>[0]!_V/Tabelle2!A24*2-[0]!_g</f>
        <v>0.958695652173913</v>
      </c>
      <c r="D24" s="89">
        <f t="shared" si="0"/>
        <v>0.10274102079395085</v>
      </c>
      <c r="E24" s="89">
        <f t="shared" si="1"/>
        <v>0.10274102079395085</v>
      </c>
      <c r="F24" s="89">
        <f t="shared" si="2"/>
        <v>10.473090804684082</v>
      </c>
      <c r="G24" s="89">
        <f t="shared" si="3"/>
        <v>240.8810885077339</v>
      </c>
      <c r="I24" s="89">
        <f t="shared" si="4"/>
        <v>1.1815217391304347</v>
      </c>
      <c r="J24" s="89">
        <f t="shared" si="5"/>
        <v>22.05</v>
      </c>
      <c r="K24" s="89">
        <f t="shared" si="6"/>
        <v>1.1815217391304347</v>
      </c>
      <c r="L24" s="89">
        <f t="shared" si="7"/>
        <v>120.44054425386695</v>
      </c>
    </row>
    <row r="25" spans="1:12" ht="12.75">
      <c r="A25" s="89">
        <v>24</v>
      </c>
      <c r="B25" s="89">
        <f>[0]!_M*8/A25^2-[0]!_g</f>
        <v>0.09027777777777778</v>
      </c>
      <c r="C25" s="89">
        <f>[0]!_V/Tabelle2!A25*2-[0]!_g</f>
        <v>0.9166666666666666</v>
      </c>
      <c r="D25" s="89">
        <f t="shared" si="0"/>
        <v>0.09027777777777778</v>
      </c>
      <c r="E25" s="89">
        <f t="shared" si="1"/>
        <v>0.09027777777777778</v>
      </c>
      <c r="F25" s="89">
        <f t="shared" si="2"/>
        <v>9.202627704156756</v>
      </c>
      <c r="G25" s="89">
        <f t="shared" si="3"/>
        <v>220.86306489976215</v>
      </c>
      <c r="I25" s="89">
        <f t="shared" si="4"/>
        <v>1.0833333333333333</v>
      </c>
      <c r="J25" s="89">
        <f t="shared" si="5"/>
        <v>22</v>
      </c>
      <c r="K25" s="89">
        <f t="shared" si="6"/>
        <v>1.0833333333333333</v>
      </c>
      <c r="L25" s="89">
        <f t="shared" si="7"/>
        <v>110.43153244988106</v>
      </c>
    </row>
    <row r="26" spans="1:12" ht="12.75">
      <c r="A26" s="89">
        <v>25</v>
      </c>
      <c r="B26" s="89">
        <f>[0]!_M*8/A26^2-[0]!_g</f>
        <v>0.07928</v>
      </c>
      <c r="C26" s="89">
        <f>[0]!_V/Tabelle2!A26*2-[0]!_g</f>
        <v>0.8779999999999999</v>
      </c>
      <c r="D26" s="89">
        <f t="shared" si="0"/>
        <v>0.07928</v>
      </c>
      <c r="E26" s="89">
        <f t="shared" si="1"/>
        <v>0.07928</v>
      </c>
      <c r="F26" s="89">
        <f t="shared" si="2"/>
        <v>8.081549439347604</v>
      </c>
      <c r="G26" s="89">
        <f t="shared" si="3"/>
        <v>202.03873598369012</v>
      </c>
      <c r="I26" s="89">
        <f t="shared" si="4"/>
        <v>0.991</v>
      </c>
      <c r="J26" s="89">
        <f t="shared" si="5"/>
        <v>21.95</v>
      </c>
      <c r="K26" s="89">
        <f t="shared" si="6"/>
        <v>0.991</v>
      </c>
      <c r="L26" s="89">
        <f t="shared" si="7"/>
        <v>101.01936799184504</v>
      </c>
    </row>
    <row r="27" spans="1:12" ht="12.75">
      <c r="A27" s="89">
        <v>26</v>
      </c>
      <c r="B27" s="89">
        <f>[0]!_M*8/A27^2-[0]!_g</f>
        <v>0.0695266272189349</v>
      </c>
      <c r="C27" s="89">
        <f>[0]!_V/Tabelle2!A27*2-[0]!_g</f>
        <v>0.8423076923076922</v>
      </c>
      <c r="D27" s="89">
        <f t="shared" si="0"/>
        <v>0.0695266272189349</v>
      </c>
      <c r="E27" s="89">
        <f t="shared" si="1"/>
        <v>0.0695266272189349</v>
      </c>
      <c r="F27" s="89">
        <f t="shared" si="2"/>
        <v>7.087321836792549</v>
      </c>
      <c r="G27" s="89">
        <f t="shared" si="3"/>
        <v>184.27036775660628</v>
      </c>
      <c r="I27" s="89">
        <f t="shared" si="4"/>
        <v>0.9038461538461537</v>
      </c>
      <c r="J27" s="89">
        <f t="shared" si="5"/>
        <v>21.9</v>
      </c>
      <c r="K27" s="89">
        <f t="shared" si="6"/>
        <v>0.9038461538461537</v>
      </c>
      <c r="L27" s="89">
        <f t="shared" si="7"/>
        <v>92.13518387830312</v>
      </c>
    </row>
    <row r="28" spans="1:12" ht="12.75">
      <c r="A28" s="89">
        <v>27</v>
      </c>
      <c r="B28" s="89">
        <f>[0]!_M*8/A28^2-[0]!_g</f>
        <v>0.06083676268861453</v>
      </c>
      <c r="C28" s="89">
        <f>[0]!_V/Tabelle2!A28*2-[0]!_g</f>
        <v>0.8092592592592592</v>
      </c>
      <c r="D28" s="89">
        <f t="shared" si="0"/>
        <v>0.06083676268861453</v>
      </c>
      <c r="E28" s="89">
        <f t="shared" si="1"/>
        <v>0.06083676268861453</v>
      </c>
      <c r="F28" s="89">
        <f t="shared" si="2"/>
        <v>6.2015048612247226</v>
      </c>
      <c r="G28" s="89">
        <f t="shared" si="3"/>
        <v>167.44063125306752</v>
      </c>
      <c r="I28" s="89">
        <f t="shared" si="4"/>
        <v>0.8212962962962962</v>
      </c>
      <c r="J28" s="89">
        <f t="shared" si="5"/>
        <v>21.849999999999998</v>
      </c>
      <c r="K28" s="89">
        <f t="shared" si="6"/>
        <v>0.8212962962962962</v>
      </c>
      <c r="L28" s="89">
        <f t="shared" si="7"/>
        <v>83.72031562653376</v>
      </c>
    </row>
    <row r="29" spans="1:12" ht="12.75">
      <c r="A29" s="89">
        <v>28</v>
      </c>
      <c r="B29" s="89">
        <f>[0]!_M*8/A29^2-[0]!_g</f>
        <v>0.053061224489795916</v>
      </c>
      <c r="C29" s="89">
        <f>[0]!_V/Tabelle2!A29*2-[0]!_g</f>
        <v>0.7785714285714285</v>
      </c>
      <c r="D29" s="89">
        <f t="shared" si="0"/>
        <v>0.053061224489795916</v>
      </c>
      <c r="E29" s="89">
        <f t="shared" si="1"/>
        <v>0.053061224489795916</v>
      </c>
      <c r="F29" s="89">
        <f t="shared" si="2"/>
        <v>5.408891385300297</v>
      </c>
      <c r="G29" s="89">
        <f t="shared" si="3"/>
        <v>151.44895878840833</v>
      </c>
      <c r="I29" s="89">
        <f t="shared" si="4"/>
        <v>0.7428571428571428</v>
      </c>
      <c r="J29" s="89">
        <f t="shared" si="5"/>
        <v>21.8</v>
      </c>
      <c r="K29" s="89">
        <f t="shared" si="6"/>
        <v>0.7428571428571428</v>
      </c>
      <c r="L29" s="89">
        <f t="shared" si="7"/>
        <v>75.72447939420415</v>
      </c>
    </row>
    <row r="30" spans="1:12" ht="12.75">
      <c r="A30" s="89">
        <v>29</v>
      </c>
      <c r="B30" s="89">
        <f>[0]!_M*8/A30^2-[0]!_g</f>
        <v>0.04607609988109393</v>
      </c>
      <c r="C30" s="89">
        <f>[0]!_V/Tabelle2!A30*2-[0]!_g</f>
        <v>0.7499999999999999</v>
      </c>
      <c r="D30" s="89">
        <f t="shared" si="0"/>
        <v>0.04607609988109393</v>
      </c>
      <c r="E30" s="89">
        <f t="shared" si="1"/>
        <v>0.04607609988109393</v>
      </c>
      <c r="F30" s="89">
        <f t="shared" si="2"/>
        <v>4.696850140784295</v>
      </c>
      <c r="G30" s="89">
        <f t="shared" si="3"/>
        <v>136.20865408274454</v>
      </c>
      <c r="I30" s="89">
        <f t="shared" si="4"/>
        <v>0.668103448275862</v>
      </c>
      <c r="J30" s="89">
        <f t="shared" si="5"/>
        <v>21.75</v>
      </c>
      <c r="K30" s="89">
        <f t="shared" si="6"/>
        <v>0.668103448275862</v>
      </c>
      <c r="L30" s="89">
        <f t="shared" si="7"/>
        <v>68.10432704137227</v>
      </c>
    </row>
    <row r="31" spans="1:12" ht="12.75">
      <c r="A31" s="89">
        <v>30</v>
      </c>
      <c r="B31" s="89">
        <f>[0]!_M*8/A31^2-[0]!_g</f>
        <v>0.03977777777777777</v>
      </c>
      <c r="C31" s="89">
        <f>[0]!_V/Tabelle2!A31*2-[0]!_g</f>
        <v>0.7233333333333333</v>
      </c>
      <c r="D31" s="89">
        <f t="shared" si="0"/>
        <v>0.03977777777777777</v>
      </c>
      <c r="E31" s="89">
        <f t="shared" si="1"/>
        <v>0.03977777777777777</v>
      </c>
      <c r="F31" s="89">
        <f t="shared" si="2"/>
        <v>4.054819345339222</v>
      </c>
      <c r="G31" s="89">
        <f t="shared" si="3"/>
        <v>121.64458036017666</v>
      </c>
      <c r="I31" s="89">
        <f t="shared" si="4"/>
        <v>0.5966666666666666</v>
      </c>
      <c r="J31" s="89">
        <f t="shared" si="5"/>
        <v>21.7</v>
      </c>
      <c r="K31" s="89">
        <f t="shared" si="6"/>
        <v>0.5966666666666666</v>
      </c>
      <c r="L31" s="89">
        <f t="shared" si="7"/>
        <v>60.82229018008832</v>
      </c>
    </row>
    <row r="32" spans="1:12" ht="12.75">
      <c r="A32" s="89">
        <v>31</v>
      </c>
      <c r="B32" s="89">
        <f>[0]!_M*8/A32^2-[0]!_g</f>
        <v>0.03407908428720083</v>
      </c>
      <c r="C32" s="89">
        <f>[0]!_V/Tabelle2!A32*2-[0]!_g</f>
        <v>0.6983870967741935</v>
      </c>
      <c r="D32" s="89">
        <f t="shared" si="0"/>
        <v>0.03407908428720083</v>
      </c>
      <c r="E32" s="89">
        <f t="shared" si="1"/>
        <v>0.03407908428720083</v>
      </c>
      <c r="F32" s="89">
        <f t="shared" si="2"/>
        <v>3.4739127713762312</v>
      </c>
      <c r="G32" s="89">
        <f t="shared" si="3"/>
        <v>107.69129591266316</v>
      </c>
      <c r="I32" s="89">
        <f t="shared" si="4"/>
        <v>0.5282258064516128</v>
      </c>
      <c r="J32" s="89">
        <f t="shared" si="5"/>
        <v>21.65</v>
      </c>
      <c r="K32" s="89">
        <f t="shared" si="6"/>
        <v>0.5282258064516128</v>
      </c>
      <c r="L32" s="89">
        <f t="shared" si="7"/>
        <v>53.845647956331575</v>
      </c>
    </row>
    <row r="33" spans="1:12" ht="12.75">
      <c r="A33" s="89">
        <v>32</v>
      </c>
      <c r="B33" s="89">
        <f>[0]!_M*8/A33^2-[0]!_g</f>
        <v>0.028906249999999994</v>
      </c>
      <c r="C33" s="89">
        <f>[0]!_V/Tabelle2!A33*2-[0]!_g</f>
        <v>0.6749999999999999</v>
      </c>
      <c r="D33" s="89">
        <f t="shared" si="0"/>
        <v>0.028906249999999994</v>
      </c>
      <c r="E33" s="89">
        <f t="shared" si="1"/>
        <v>0.028906249999999994</v>
      </c>
      <c r="F33" s="89">
        <f t="shared" si="2"/>
        <v>2.9466106014271145</v>
      </c>
      <c r="G33" s="89">
        <f t="shared" si="3"/>
        <v>94.29153924566766</v>
      </c>
      <c r="I33" s="89">
        <f t="shared" si="4"/>
        <v>0.4624999999999999</v>
      </c>
      <c r="J33" s="89">
        <f t="shared" si="5"/>
        <v>21.599999999999998</v>
      </c>
      <c r="K33" s="89">
        <f t="shared" si="6"/>
        <v>0.4624999999999999</v>
      </c>
      <c r="L33" s="89">
        <f t="shared" si="7"/>
        <v>47.14576962283383</v>
      </c>
    </row>
    <row r="34" spans="1:12" ht="12.75">
      <c r="A34" s="89">
        <v>33</v>
      </c>
      <c r="B34" s="89">
        <f>[0]!_M*8/A34^2-[0]!_g</f>
        <v>0.02419651056014692</v>
      </c>
      <c r="C34" s="89">
        <f>[0]!_V/Tabelle2!A34*2-[0]!_g</f>
        <v>0.653030303030303</v>
      </c>
      <c r="D34" s="89">
        <f t="shared" si="0"/>
        <v>0.02419651056014692</v>
      </c>
      <c r="E34" s="89">
        <f t="shared" si="1"/>
        <v>0.02419651056014692</v>
      </c>
      <c r="F34" s="89">
        <f t="shared" si="2"/>
        <v>2.4665148379354656</v>
      </c>
      <c r="G34" s="89">
        <f t="shared" si="3"/>
        <v>81.39498965187036</v>
      </c>
      <c r="I34" s="89">
        <f t="shared" si="4"/>
        <v>0.3992424242424242</v>
      </c>
      <c r="J34" s="89">
        <f t="shared" si="5"/>
        <v>21.55</v>
      </c>
      <c r="K34" s="89">
        <f t="shared" si="6"/>
        <v>0.3992424242424242</v>
      </c>
      <c r="L34" s="89">
        <f t="shared" si="7"/>
        <v>40.69749482593519</v>
      </c>
    </row>
    <row r="35" spans="1:12" ht="12.75">
      <c r="A35" s="89">
        <v>34</v>
      </c>
      <c r="B35" s="89">
        <f>[0]!_M*8/A35^2-[0]!_g</f>
        <v>0.019896193771626297</v>
      </c>
      <c r="C35" s="89">
        <f>[0]!_V/Tabelle2!A35*2-[0]!_g</f>
        <v>0.6323529411764706</v>
      </c>
      <c r="D35" s="89">
        <f t="shared" si="0"/>
        <v>0.019896193771626297</v>
      </c>
      <c r="E35" s="89">
        <f t="shared" si="1"/>
        <v>0.019896193771626297</v>
      </c>
      <c r="F35" s="89">
        <f t="shared" si="2"/>
        <v>2.028154309034281</v>
      </c>
      <c r="G35" s="89">
        <f t="shared" si="3"/>
        <v>68.95724650716555</v>
      </c>
      <c r="I35" s="89">
        <f t="shared" si="4"/>
        <v>0.33823529411764697</v>
      </c>
      <c r="J35" s="89">
        <f t="shared" si="5"/>
        <v>21.5</v>
      </c>
      <c r="K35" s="89">
        <f t="shared" si="6"/>
        <v>0.33823529411764697</v>
      </c>
      <c r="L35" s="89">
        <f t="shared" si="7"/>
        <v>34.47862325358277</v>
      </c>
    </row>
    <row r="36" spans="1:12" ht="12.75">
      <c r="A36" s="89">
        <v>35</v>
      </c>
      <c r="B36" s="89">
        <f>[0]!_M*8/A36^2-[0]!_g</f>
        <v>0.01595918367346938</v>
      </c>
      <c r="C36" s="89">
        <f>[0]!_V/Tabelle2!A36*2-[0]!_g</f>
        <v>0.6128571428571428</v>
      </c>
      <c r="D36" s="89">
        <f t="shared" si="0"/>
        <v>0.01595918367346938</v>
      </c>
      <c r="E36" s="89">
        <f>IF(D36&gt;0,D36,"")</f>
        <v>0.01595918367346938</v>
      </c>
      <c r="F36" s="89">
        <f t="shared" si="2"/>
        <v>1.6268281012710886</v>
      </c>
      <c r="G36" s="89">
        <f t="shared" si="3"/>
        <v>56.9389835444881</v>
      </c>
      <c r="I36" s="89">
        <f t="shared" si="4"/>
        <v>0.27928571428571425</v>
      </c>
      <c r="J36" s="89">
        <f t="shared" si="5"/>
        <v>21.45</v>
      </c>
      <c r="K36" s="89">
        <f t="shared" si="6"/>
        <v>0.27928571428571425</v>
      </c>
      <c r="L36" s="89">
        <f t="shared" si="7"/>
        <v>28.46949177224406</v>
      </c>
    </row>
    <row r="37" spans="1:12" ht="12.75">
      <c r="A37" s="89">
        <v>36</v>
      </c>
      <c r="B37" s="89">
        <f>[0]!_M*8/A37^2-[0]!_g</f>
        <v>0.012345679012345671</v>
      </c>
      <c r="C37" s="89">
        <f>[0]!_V/Tabelle2!A37*2-[0]!_g</f>
        <v>0.5944444444444443</v>
      </c>
      <c r="D37" s="89">
        <f t="shared" si="0"/>
        <v>0.012345679012345671</v>
      </c>
      <c r="E37" s="89">
        <f t="shared" si="1"/>
        <v>0.012345679012345671</v>
      </c>
      <c r="F37" s="89">
        <f t="shared" si="2"/>
        <v>1.2584790022778463</v>
      </c>
      <c r="G37" s="89">
        <f t="shared" si="3"/>
        <v>45.30524408200247</v>
      </c>
      <c r="I37" s="89">
        <f t="shared" si="4"/>
        <v>0.2222222222222222</v>
      </c>
      <c r="J37" s="89">
        <f t="shared" si="5"/>
        <v>21.4</v>
      </c>
      <c r="K37" s="89">
        <f t="shared" si="6"/>
        <v>0.2222222222222222</v>
      </c>
      <c r="L37" s="89">
        <f t="shared" si="7"/>
        <v>22.652622041001244</v>
      </c>
    </row>
    <row r="38" spans="1:12" ht="12.75">
      <c r="A38" s="89">
        <v>37</v>
      </c>
      <c r="B38" s="89">
        <f>[0]!_M*8/A38^2-[0]!_g</f>
        <v>0.009021183345507666</v>
      </c>
      <c r="C38" s="89">
        <f>[0]!_V/Tabelle2!A38*2-[0]!_g</f>
        <v>0.577027027027027</v>
      </c>
      <c r="D38" s="89">
        <f t="shared" si="0"/>
        <v>0.009021183345507666</v>
      </c>
      <c r="E38" s="89">
        <f t="shared" si="1"/>
        <v>0.009021183345507666</v>
      </c>
      <c r="F38" s="89">
        <f t="shared" si="2"/>
        <v>0.9195905550976213</v>
      </c>
      <c r="G38" s="89">
        <f t="shared" si="3"/>
        <v>34.024850538611986</v>
      </c>
      <c r="I38" s="89">
        <f t="shared" si="4"/>
        <v>0.16689189189189182</v>
      </c>
      <c r="J38" s="89">
        <f t="shared" si="5"/>
        <v>21.349999999999998</v>
      </c>
      <c r="K38" s="89">
        <f t="shared" si="6"/>
        <v>0.16689189189189182</v>
      </c>
      <c r="L38" s="89">
        <f t="shared" si="7"/>
        <v>17.012425269305993</v>
      </c>
    </row>
    <row r="39" spans="1:12" ht="12.75">
      <c r="A39" s="89">
        <v>38</v>
      </c>
      <c r="B39" s="89">
        <f>[0]!_M*8/A39^2-[0]!_g</f>
        <v>0.005955678670360107</v>
      </c>
      <c r="C39" s="89">
        <f>[0]!_V/Tabelle2!A39*2-[0]!_g</f>
        <v>0.5605263157894737</v>
      </c>
      <c r="D39" s="89">
        <f t="shared" si="0"/>
        <v>0.005955678670360107</v>
      </c>
      <c r="E39" s="89">
        <f t="shared" si="1"/>
        <v>0.005955678670360107</v>
      </c>
      <c r="F39" s="89">
        <f t="shared" si="2"/>
        <v>0.6071028206279415</v>
      </c>
      <c r="G39" s="89">
        <f t="shared" si="3"/>
        <v>23.069907183861776</v>
      </c>
      <c r="I39" s="89">
        <f t="shared" si="4"/>
        <v>0.11315789473684203</v>
      </c>
      <c r="J39" s="89">
        <f t="shared" si="5"/>
        <v>21.3</v>
      </c>
      <c r="K39" s="89">
        <f t="shared" si="6"/>
        <v>0.11315789473684203</v>
      </c>
      <c r="L39" s="89">
        <f t="shared" si="7"/>
        <v>11.534953591930888</v>
      </c>
    </row>
    <row r="40" spans="1:12" ht="12.75">
      <c r="A40" s="89">
        <v>39</v>
      </c>
      <c r="B40" s="89">
        <f>[0]!_M*8/A40^2-[0]!_g</f>
        <v>0.0031229454306377358</v>
      </c>
      <c r="C40" s="89">
        <f>[0]!_V/Tabelle2!A40*2-[0]!_g</f>
        <v>0.5448717948717948</v>
      </c>
      <c r="D40" s="89">
        <f t="shared" si="0"/>
        <v>0.0031229454306377358</v>
      </c>
      <c r="E40" s="89">
        <f t="shared" si="1"/>
        <v>0.0031229454306377358</v>
      </c>
      <c r="F40" s="89">
        <f t="shared" si="2"/>
        <v>0.3183430612270882</v>
      </c>
      <c r="G40" s="89">
        <f t="shared" si="3"/>
        <v>12.41537938785644</v>
      </c>
      <c r="I40" s="89">
        <f t="shared" si="4"/>
        <v>0.060897435897435896</v>
      </c>
      <c r="J40" s="89">
        <f t="shared" si="5"/>
        <v>21.25</v>
      </c>
      <c r="K40" s="89">
        <f t="shared" si="6"/>
        <v>0.060897435897435896</v>
      </c>
      <c r="L40" s="89">
        <f t="shared" si="7"/>
        <v>6.207689693928225</v>
      </c>
    </row>
    <row r="41" spans="1:12" ht="12.75">
      <c r="A41" s="89">
        <v>40</v>
      </c>
      <c r="B41" s="89">
        <f>[0]!_M*8/A41^2-[0]!_g</f>
        <v>0.0004999999999999935</v>
      </c>
      <c r="C41" s="89">
        <f>[0]!_V/Tabelle2!A41*2-[0]!_g</f>
        <v>0.5299999999999999</v>
      </c>
      <c r="D41" s="89">
        <f t="shared" si="0"/>
        <v>0.0004999999999999935</v>
      </c>
      <c r="E41" s="89">
        <f t="shared" si="1"/>
        <v>0.0004999999999999935</v>
      </c>
      <c r="F41" s="89">
        <f t="shared" si="2"/>
        <v>0.05096839959225214</v>
      </c>
      <c r="G41" s="89">
        <f t="shared" si="3"/>
        <v>2.038735983690086</v>
      </c>
      <c r="I41" s="89">
        <f t="shared" si="4"/>
        <v>0.009999999999999964</v>
      </c>
      <c r="J41" s="89">
        <f t="shared" si="5"/>
        <v>21.2</v>
      </c>
      <c r="K41" s="89">
        <f t="shared" si="6"/>
        <v>0.009999999999999964</v>
      </c>
      <c r="L41" s="89">
        <f t="shared" si="7"/>
        <v>1.0193679918450524</v>
      </c>
    </row>
  </sheetData>
  <sheetProtection password="DC49"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Lück</dc:creator>
  <cp:keywords/>
  <dc:description/>
  <cp:lastModifiedBy>David B. Scherz</cp:lastModifiedBy>
  <cp:lastPrinted>2001-05-26T11:15:21Z</cp:lastPrinted>
  <dcterms:created xsi:type="dcterms:W3CDTF">1997-09-29T08:44:54Z</dcterms:created>
  <dcterms:modified xsi:type="dcterms:W3CDTF">2003-11-26T09:41:05Z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1311598771</vt:i4>
  </property>
  <property fmtid="{D5CDD505-2E9C-101B-9397-08002B2CF9AE}" pid="3" name="_EmailSubject">
    <vt:lpwstr>Klanten, Prijzen en Loadcalculator</vt:lpwstr>
  </property>
  <property fmtid="{D5CDD505-2E9C-101B-9397-08002B2CF9AE}" pid="4" name="_AuthorEmail">
    <vt:lpwstr>martin@eurotruss.nl</vt:lpwstr>
  </property>
  <property fmtid="{D5CDD505-2E9C-101B-9397-08002B2CF9AE}" pid="5" name="_AuthorEmailDisplayName">
    <vt:lpwstr>Martin (Eurotruss)</vt:lpwstr>
  </property>
</Properties>
</file>